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_A" sheetId="2" state="visible" r:id="rId4"/>
    <sheet name="Model_A" sheetId="3" state="visible" r:id="rId5"/>
    <sheet name="Assumptions_B" sheetId="4" state="visible" r:id="rId6"/>
    <sheet name="Model_B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<sst xmlns="http://schemas.openxmlformats.org/spreadsheetml/2006/main" count="277" uniqueCount="131">
  <si>
    <t xml:space="preserve">ScrollShield — Investor summary: two scenarios side by side</t>
  </si>
  <si>
    <t xml:space="preserve">Every figure is a formula on Model_A / Model_B; assumptions sit on Assumptions_A / Assumptions_B, each with a source or the label 'Assumption'.</t>
  </si>
  <si>
    <t xml:space="preserve">Scenario A — Italy first, then EU</t>
  </si>
  <si>
    <t xml:space="preserve">Indicator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</si>
  <si>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</si>
  <si>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</si>
  <si>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</si>
  <si>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</si>
  <si>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</si>
  <si>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Active users at year end</t>
  </si>
  <si>
    <t xml:space="preserve">Paying subscribers at year end</t>
  </si>
  <si>
    <t xml:space="preserve">Total net revenue</t>
  </si>
  <si>
    <t xml:space="preserve">  of which B2B (schools + companies)</t>
  </si>
  <si>
    <t xml:space="preserve">Total costs</t>
  </si>
  <si>
    <t xml:space="preserve">EBITDA</t>
  </si>
  <si>
    <t xml:space="preserve">EBITDA margin</t>
  </si>
  <si>
    <t xml:space="preserve">Team (FTE)</t>
  </si>
  <si>
    <t xml:space="preserve">Cumulative cash without financing</t>
  </si>
  <si>
    <t xml:space="preserve">Peak cash need</t>
  </si>
  <si>
    <t xml:space="preserve">Year of the low point</t>
  </si>
  <si>
    <t xml:space="preserve">Capital to raise to breakeven, with buffer</t>
  </si>
  <si>
    <t xml:space="preserve">Seed round: 2027-2028 need with buffer</t>
  </si>
  <si>
    <t xml:space="preserve">First year with positive EBITDA</t>
  </si>
  <si>
    <t xml:space="preserve">Scenario B — EU and US from launch</t>
  </si>
  <si>
    <t xml:space="preserve">HEAD-TO-HEAD</t>
  </si>
  <si>
    <t xml:space="preserve">Scenario A</t>
  </si>
  <si>
    <t xml:space="preserve">Scenario B</t>
  </si>
  <si>
    <t xml:space="preserve">B / A</t>
  </si>
  <si>
    <t xml:space="preserve">Active users 2031</t>
  </si>
  <si>
    <t xml:space="preserve">Net revenue 2031</t>
  </si>
  <si>
    <t xml:space="preserve">EBITDA 2031</t>
  </si>
  <si>
    <t xml:space="preserve">Capital to raise to breakeven</t>
  </si>
  <si>
    <t xml:space="preserve">Seed round (24 months)</t>
  </si>
  <si>
    <t xml:space="preserve">Acquisition cost per paying subscriber, 2027</t>
  </si>
  <si>
    <t xml:space="preserve">Acquisition cost per paying subscriber, 2031</t>
  </si>
  <si>
    <t xml:space="preserve">Net revenue per subscriber</t>
  </si>
  <si>
    <t xml:space="preserve">Note: the capital to raise is computed, not decided. Scenario B hinges mostly on acquisition cost (row 19 of Assumptions_B) and on a credible iOS version.</t>
  </si>
  <si>
    <t xml:space="preserve">EUR/USD rate for reading in dollars (assumption — update before the meeting)</t>
  </si>
  <si>
    <t xml:space="preserve">Capital to raise to breakeven, in USD</t>
  </si>
  <si>
    <t xml:space="preserve">Seed round (24 months), in USD</t>
  </si>
  <si>
    <t xml:space="preserve">ScrollShield — Assumptions · Scenario A — Italy first, then EU</t>
  </si>
  <si>
    <t xml:space="preserve">Blue cells = editable inputs. Every line is an assumption unless a source is given. Values in euro.</t>
  </si>
  <si>
    <t xml:space="preserve">Assumption</t>
  </si>
  <si>
    <t xml:space="preserve">Source / note</t>
  </si>
  <si>
    <t xml:space="preserve">New downloads in the year</t>
  </si>
  <si>
    <t xml:space="preserve">Assumption. Benchmark: Opal ~200k downloads/month on iOS US alone (Adapty, 2024). 2027-28 Italy; EU expansion from 2029 (assumption).</t>
  </si>
  <si>
    <t xml:space="preserve">Activation: % of downloads still active at year end</t>
  </si>
  <si>
    <t xml:space="preserve">Assumption.</t>
  </si>
  <si>
    <t xml:space="preserve">Annual retention of existing active users</t>
  </si>
  <si>
    <t xml:space="preserve">Paid conversion (% of active users)</t>
  </si>
  <si>
    <t xml:space="preserve">Conservative assumption. Benchmark: Opal 9% after moving to freemium (RevenueCat, 2026).</t>
  </si>
  <si>
    <t xml:space="preserve">Annual subscription price (€)</t>
  </si>
  <si>
    <t xml:space="preserve">Assumption. Benchmark: Opal Pro $99.99/year (opal.so/pricing); priced below for the EU market.</t>
  </si>
  <si>
    <t xml:space="preserve">Store commission (% of B2C revenue)</t>
  </si>
  <si>
    <t xml:space="preserve">Apple/Google Small Business Program: 15% under $1M/year. Assumption: kept at 15% above the threshold via web checkout.</t>
  </si>
  <si>
    <t xml:space="preserve">Schools: active contracts</t>
  </si>
  <si>
    <t xml:space="preserve">Assumption. B2B starts in 2028.</t>
  </si>
  <si>
    <t xml:space="preserve">Schools: students per contract</t>
  </si>
  <si>
    <t xml:space="preserve">Schools: price per student/year (€)</t>
  </si>
  <si>
    <t xml:space="preserve">Companies: active contracts</t>
  </si>
  <si>
    <t xml:space="preserve">Companies: users per contract</t>
  </si>
  <si>
    <t xml:space="preserve">Companies: price per user/year (€)</t>
  </si>
  <si>
    <t xml:space="preserve">Assumption (€3/month per user).</t>
  </si>
  <si>
    <t xml:space="preserve">Team: average FTE in the year</t>
  </si>
  <si>
    <t xml:space="preserve">Average fully loaded cost per FTE (€)</t>
  </si>
  <si>
    <t xml:space="preserve">Assumption, Italian market.</t>
  </si>
  <si>
    <t xml:space="preserve">Acquisition cost per download (€)</t>
  </si>
  <si>
    <t xml:space="preserve">Assumption, blended organic + paid; declines with word of mouth (Opal: free users are the marketing engine, RevenueCat 2026).</t>
  </si>
  <si>
    <t xml:space="preserve">Infrastructure and tools (€/year)</t>
  </si>
  <si>
    <t xml:space="preserve">Assumption. Inference runs on-device: cloud costs stay low.</t>
  </si>
  <si>
    <t xml:space="preserve">G&amp;A (% of operating costs)</t>
  </si>
  <si>
    <t xml:space="preserve">Opening cash (€)</t>
  </si>
  <si>
    <t xml:space="preserve">Assumption: company incorporated in early 2027.</t>
  </si>
  <si>
    <t xml:space="preserve">Buffer on funding need for the round (%)</t>
  </si>
  <si>
    <t xml:space="preserve">Assumption: safety margin on the computed need.</t>
  </si>
  <si>
    <t xml:space="preserve">Legend: rows with a single value (yellow cell, 2027 column) apply to every year.</t>
  </si>
  <si>
    <t xml:space="preserve">ScrollShield — Financial model 2027-2031 · Scenario A — Italy first, then EU</t>
  </si>
  <si>
    <t xml:space="preserve">Every cell is a formula reading the Assumptions sheet. Values in euro.</t>
  </si>
  <si>
    <t xml:space="preserve">Line</t>
  </si>
  <si>
    <t xml:space="preserve">How it is computed</t>
  </si>
  <si>
    <t xml:space="preserve">USERS</t>
  </si>
  <si>
    <t xml:space="preserve">New downloads</t>
  </si>
  <si>
    <t xml:space="preserve">From Assumptions</t>
  </si>
  <si>
    <t xml:space="preserve">Active users at start of year</t>
  </si>
  <si>
    <t xml:space="preserve">Previous year end</t>
  </si>
  <si>
    <t xml:space="preserve">Existing actives × retention + new downloads × activation</t>
  </si>
  <si>
    <t xml:space="preserve">Active users × conversion</t>
  </si>
  <si>
    <t xml:space="preserve">Average paying subscribers in the year</t>
  </si>
  <si>
    <t xml:space="preserve">Average of start and end of year</t>
  </si>
  <si>
    <t xml:space="preserve">Students covered by school contracts</t>
  </si>
  <si>
    <t xml:space="preserve">Contracts × students per contract</t>
  </si>
  <si>
    <t xml:space="preserve">Users covered by company contracts</t>
  </si>
  <si>
    <t xml:space="preserve">Contracts × users per contract</t>
  </si>
  <si>
    <t xml:space="preserve">REVENUE</t>
  </si>
  <si>
    <t xml:space="preserve">Gross B2C revenue</t>
  </si>
  <si>
    <t xml:space="preserve">Average subscribers × annual price</t>
  </si>
  <si>
    <t xml:space="preserve">Store commissions</t>
  </si>
  <si>
    <t xml:space="preserve">Gross B2C revenue × commissione</t>
  </si>
  <si>
    <t xml:space="preserve">Net B2C revenue</t>
  </si>
  <si>
    <t xml:space="preserve">Schools revenue</t>
  </si>
  <si>
    <t xml:space="preserve">Students covered × price</t>
  </si>
  <si>
    <t xml:space="preserve">Companies revenue</t>
  </si>
  <si>
    <t xml:space="preserve">Company users × price</t>
  </si>
  <si>
    <t xml:space="preserve">COSTS</t>
  </si>
  <si>
    <t xml:space="preserve">Team</t>
  </si>
  <si>
    <t xml:space="preserve">FTE × average loaded cost</t>
  </si>
  <si>
    <t xml:space="preserve">Marketing and acquisition</t>
  </si>
  <si>
    <t xml:space="preserve">New downloads × cost per download</t>
  </si>
  <si>
    <t xml:space="preserve">Infrastructure and tools</t>
  </si>
  <si>
    <t xml:space="preserve">G&amp;A</t>
  </si>
  <si>
    <t xml:space="preserve">% of operating costs</t>
  </si>
  <si>
    <t xml:space="preserve">RESULT</t>
  </si>
  <si>
    <t xml:space="preserve">Net revenue − total costs</t>
  </si>
  <si>
    <t xml:space="preserve">EBITDA / net revenue</t>
  </si>
  <si>
    <t xml:space="preserve">Cumulative cash at year end (no financing)</t>
  </si>
  <si>
    <t xml:space="preserve">Opening cash + cumulative EBITDA. The lowest point is the funding need.</t>
  </si>
  <si>
    <t xml:space="preserve">KPIs</t>
  </si>
  <si>
    <t xml:space="preserve">Average net revenue per subscriber (€)</t>
  </si>
  <si>
    <t xml:space="preserve">Net B2C revenue / abbonati medi</t>
  </si>
  <si>
    <t xml:space="preserve">B2B share of revenue</t>
  </si>
  <si>
    <t xml:space="preserve">(Schools + companies) / net revenue</t>
  </si>
  <si>
    <t xml:space="preserve">Net revenue per FTE (€)</t>
  </si>
  <si>
    <t xml:space="preserve">Acquisition cost per paying subscriber (€)</t>
  </si>
  <si>
    <t xml:space="preserve">Marketing / net new subscribers in the year (approximation)</t>
  </si>
  <si>
    <t xml:space="preserve">ScrollShield — Assumptions · Scenario B — EU and US from launch</t>
  </si>
  <si>
    <t xml:space="preserve">Assumption. EU + US scope from 2027. References: TikTok ~169M monthly users in the EU (DSA disclosure) and 136-170M in the US (sources disagree); Instagram US ~181M.</t>
  </si>
  <si>
    <t xml:space="preserve">Assumption: blend of $79.99 US and €59.99 EU, below Opal's $99.99.</t>
  </si>
  <si>
    <t xml:space="preserve">Assumption: 30% on iOS US (in-app purchase mandatory) and 15% elsewhere, 20% blended.</t>
  </si>
  <si>
    <t xml:space="preserve">Assumption, mixed Italy/US team: US cost per head is roughly double.</t>
  </si>
  <si>
    <t xml:space="preserve">Assumption: US paid social is more expensive; starts at €2.0 per download and falls with organic growth. This is the lever that decides the plan.</t>
  </si>
  <si>
    <t xml:space="preserve">ScrollShield — Financial model 2027-2031 · Scenario B — EU and US from launch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</si>
</sst>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\€#,##0;&quot;(€&quot;#,##0\);\-"/>
    <numFmt numFmtId="167" formatCode="0.0%;\(0.0%\);\-"/>
    <numFmt numFmtId="168" formatCode="0.0\x"/>
    <numFmt numFmtId="169" formatCode="\€#,##0.00;&quot;(€&quot;#,##0.00\);\-"/>
    <numFmt numFmtId="170" formatCode="0.00"/>
    <numFmt numFmtId="171" formatCode="\$#,##0;&quot;($&quot;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2"/>
      <color rgb="FF0B1D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D2E"/>
        <bgColor rgb="FF003366"/>
      </patternFill>
    </fill>
    <fill>
      <patternFill patternType="solid">
        <fgColor rgb="FFDCE6F1"/>
        <bgColor rgb="FFCC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B1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6" min="2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/>
    </row>
    <row r="6" customFormat="false" ht="15" hidden="false" customHeight="false" outlineLevel="0" collapsed="false">
      <c r="A6" s="7" t="s">
        <v>9</v>
      </c>
      <c r="B6" s="8" t="n">
        <f aca="false">Model_A!B9</f>
        <v>45000</v>
      </c>
      <c r="C6" s="8" t="n">
        <f aca="false">Model_A!C9</f>
        <v>207000</v>
      </c>
      <c r="D6" s="8" t="n">
        <f aca="false">Model_A!D9</f>
        <v>574200</v>
      </c>
      <c r="E6" s="8" t="n">
        <f aca="false">Model_A!E9</f>
        <v>1244520</v>
      </c>
      <c r="F6" s="8" t="n">
        <f aca="false">Model_A!F9</f>
        <v>2246712</v>
      </c>
    </row>
    <row r="7" customFormat="false" ht="15" hidden="false" customHeight="false" outlineLevel="0" collapsed="false">
      <c r="A7" s="7" t="s">
        <v>10</v>
      </c>
      <c r="B7" s="8" t="n">
        <f aca="false">Model_A!B10</f>
        <v>1350</v>
      </c>
      <c r="C7" s="8" t="n">
        <f aca="false">Model_A!C10</f>
        <v>8280</v>
      </c>
      <c r="D7" s="8" t="n">
        <f aca="false">Model_A!D10</f>
        <v>28710</v>
      </c>
      <c r="E7" s="8" t="n">
        <f aca="false">Model_A!E10</f>
        <v>62226</v>
      </c>
      <c r="F7" s="8" t="n">
        <f aca="false">Model_A!F10</f>
        <v>112335.6</v>
      </c>
    </row>
    <row r="8" customFormat="false" ht="15" hidden="false" customHeight="false" outlineLevel="0" collapsed="false">
      <c r="A8" s="9" t="s">
        <v>11</v>
      </c>
      <c r="B8" s="10" t="n">
        <f aca="false">Model_A!B21</f>
        <v>34419.2625</v>
      </c>
      <c r="C8" s="10" t="n">
        <f aca="false">Model_A!C21</f>
        <v>320524.0725</v>
      </c>
      <c r="D8" s="10" t="n">
        <f aca="false">Model_A!D21</f>
        <v>1270087.7925</v>
      </c>
      <c r="E8" s="10" t="n">
        <f aca="false">Model_A!E21</f>
        <v>3230481.522</v>
      </c>
      <c r="F8" s="10" t="n">
        <f aca="false">Model_A!F21</f>
        <v>6490578.9132</v>
      </c>
    </row>
    <row r="9" customFormat="false" ht="15" hidden="false" customHeight="false" outlineLevel="0" collapsed="false">
      <c r="A9" s="7" t="s">
        <v>12</v>
      </c>
      <c r="B9" s="11" t="n">
        <f aca="false">Model_A!B19+Model_A!B20</f>
        <v>0</v>
      </c>
      <c r="C9" s="11" t="n">
        <f aca="false">Model_A!C19+Model_A!C20</f>
        <v>75000</v>
      </c>
      <c r="D9" s="11" t="n">
        <f aca="false">Model_A!D19+Model_A!D20</f>
        <v>327000</v>
      </c>
      <c r="E9" s="11" t="n">
        <f aca="false">Model_A!E19+Model_A!E20</f>
        <v>912000</v>
      </c>
      <c r="F9" s="11" t="n">
        <f aca="false">Model_A!F19+Model_A!F20</f>
        <v>2040000</v>
      </c>
    </row>
    <row r="10" customFormat="false" ht="15" hidden="false" customHeight="false" outlineLevel="0" collapsed="false">
      <c r="A10" s="7" t="s">
        <v>13</v>
      </c>
      <c r="B10" s="11" t="n">
        <f aca="false">Model_A!B28</f>
        <v>466400</v>
      </c>
      <c r="C10" s="11" t="n">
        <f aca="false">Model_A!C28</f>
        <v>1217700</v>
      </c>
      <c r="D10" s="11" t="n">
        <f aca="false">Model_A!D28</f>
        <v>2525600</v>
      </c>
      <c r="E10" s="11" t="n">
        <f aca="false">Model_A!E28</f>
        <v>4048000</v>
      </c>
      <c r="F10" s="11" t="n">
        <f aca="false">Model_A!F28</f>
        <v>5335000</v>
      </c>
    </row>
    <row r="11" customFormat="false" ht="15" hidden="false" customHeight="false" outlineLevel="0" collapsed="false">
      <c r="A11" s="9" t="s">
        <v>14</v>
      </c>
      <c r="B11" s="10" t="n">
        <f aca="false">Model_A!B31</f>
        <v>-431980.7375</v>
      </c>
      <c r="C11" s="10" t="n">
        <f aca="false">Model_A!C31</f>
        <v>-897175.9275</v>
      </c>
      <c r="D11" s="10" t="n">
        <f aca="false">Model_A!D31</f>
        <v>-1255512.2075</v>
      </c>
      <c r="E11" s="10" t="n">
        <f aca="false">Model_A!E31</f>
        <v>-817518.478</v>
      </c>
      <c r="F11" s="10" t="n">
        <f aca="false">Model_A!F31</f>
        <v>1155578.9132</v>
      </c>
    </row>
    <row r="12" customFormat="false" ht="15" hidden="false" customHeight="false" outlineLevel="0" collapsed="false">
      <c r="A12" s="7" t="s">
        <v>15</v>
      </c>
      <c r="B12" s="12" t="n">
        <f aca="false">Model_A!B32</f>
        <v>-12.5505518167334</v>
      </c>
      <c r="C12" s="12" t="n">
        <f aca="false">Model_A!C32</f>
        <v>-2.79909062836458</v>
      </c>
      <c r="D12" s="12" t="n">
        <f aca="false">Model_A!D32</f>
        <v>-0.988523954732838</v>
      </c>
      <c r="E12" s="12" t="n">
        <f aca="false">Model_A!E32</f>
        <v>-0.253063969700056</v>
      </c>
      <c r="F12" s="12" t="n">
        <f aca="false">Model_A!F32</f>
        <v>0.178039421237123</v>
      </c>
    </row>
    <row r="13" customFormat="false" ht="15" hidden="false" customHeight="false" outlineLevel="0" collapsed="false">
      <c r="A13" s="7" t="s">
        <v>16</v>
      </c>
      <c r="B13" s="8" t="n">
        <f aca="false">Assumptions_A!B17</f>
        <v>4</v>
      </c>
      <c r="C13" s="8" t="n">
        <f aca="false">Assumptions_A!C17</f>
        <v>7</v>
      </c>
      <c r="D13" s="8" t="n">
        <f aca="false">Assumptions_A!D17</f>
        <v>12</v>
      </c>
      <c r="E13" s="8" t="n">
        <f aca="false">Assumptions_A!E17</f>
        <v>18</v>
      </c>
      <c r="F13" s="8" t="n">
        <f aca="false">Assumptions_A!F17</f>
        <v>25</v>
      </c>
    </row>
    <row r="14" customFormat="false" ht="15" hidden="false" customHeight="false" outlineLevel="0" collapsed="false">
      <c r="A14" s="7" t="s">
        <v>17</v>
      </c>
      <c r="B14" s="11" t="n">
        <f aca="false">Model_A!B33</f>
        <v>-431980.7375</v>
      </c>
      <c r="C14" s="11" t="n">
        <f aca="false">Model_A!C33</f>
        <v>-1329156.665</v>
      </c>
      <c r="D14" s="11" t="n">
        <f aca="false">Model_A!D33</f>
        <v>-2584668.8725</v>
      </c>
      <c r="E14" s="11" t="n">
        <f aca="false">Model_A!E33</f>
        <v>-3402187.3505</v>
      </c>
      <c r="F14" s="11" t="n">
        <f aca="false">Model_A!F33</f>
        <v>-2246608.4373</v>
      </c>
    </row>
    <row r="16" customFormat="false" ht="15" hidden="false" customHeight="false" outlineLevel="0" collapsed="false">
      <c r="A16" s="7" t="s">
        <v>18</v>
      </c>
      <c r="B16" s="13" t="n">
        <f aca="false">-MIN(Model_A!B33:F33)</f>
        <v>3402187.3505</v>
      </c>
    </row>
    <row r="17" customFormat="false" ht="15" hidden="false" customHeight="false" outlineLevel="0" collapsed="false">
      <c r="A17" s="7" t="s">
        <v>19</v>
      </c>
      <c r="B17" s="0" t="str">
        <f aca="false">INDEX(Model_A!B4:F4,MATCH(MIN(Model_A!B33:F33),Model_A!B33:F33,0))</f>
        <v>2030</v>
      </c>
    </row>
    <row r="18" customFormat="false" ht="15" hidden="false" customHeight="false" outlineLevel="0" collapsed="false">
      <c r="A18" s="9" t="s">
        <v>20</v>
      </c>
      <c r="B18" s="14" t="n">
        <f aca="false">ROUNDUP(B16*(1+Assumptions_A!B23),-5)</f>
        <v>4300000</v>
      </c>
    </row>
    <row r="19" customFormat="false" ht="15" hidden="false" customHeight="false" outlineLevel="0" collapsed="false">
      <c r="A19" s="7" t="s">
        <v>21</v>
      </c>
      <c r="B19" s="13" t="n">
        <f aca="false">ROUNDUP(-MIN(0,Model_A!C33)*(1+Assumptions_A!B23),-5)</f>
        <v>1700000</v>
      </c>
    </row>
    <row r="20" customFormat="false" ht="15" hidden="false" customHeight="false" outlineLevel="0" collapsed="false">
      <c r="A20" s="7" t="s">
        <v>22</v>
      </c>
      <c r="B20" s="0" t="str">
        <f aca="false">IFERROR(INDEX(Model_A!B4:F4,MATCH(TRUE(),INDEX(Model_A!B31:F31&gt;0,0),0)),"beyond 2031")</f>
        <v>2031</v>
      </c>
    </row>
    <row r="22" customFormat="false" ht="15" hidden="false" customHeight="false" outlineLevel="0" collapsed="false">
      <c r="A22" s="3" t="s">
        <v>23</v>
      </c>
    </row>
    <row r="23" customFormat="false" ht="15" hidden="false" customHeight="false" outlineLevel="0" collapsed="false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6"/>
    </row>
    <row r="24" customFormat="false" ht="15" hidden="false" customHeight="false" outlineLevel="0" collapsed="false">
      <c r="A24" s="7" t="s">
        <v>9</v>
      </c>
      <c r="B24" s="8" t="n">
        <f aca="false">Model_B!B9</f>
        <v>360000</v>
      </c>
      <c r="C24" s="8" t="n">
        <f aca="false">Model_B!C9</f>
        <v>1266000</v>
      </c>
      <c r="D24" s="8" t="n">
        <f aca="false">Model_B!D9</f>
        <v>2859600</v>
      </c>
      <c r="E24" s="8" t="n">
        <f aca="false">Model_B!E9</f>
        <v>5315760</v>
      </c>
      <c r="F24" s="8" t="n">
        <f aca="false">Model_B!F9</f>
        <v>8589456</v>
      </c>
    </row>
    <row r="25" customFormat="false" ht="15" hidden="false" customHeight="false" outlineLevel="0" collapsed="false">
      <c r="A25" s="7" t="s">
        <v>10</v>
      </c>
      <c r="B25" s="8" t="n">
        <f aca="false">Model_B!B10</f>
        <v>10800</v>
      </c>
      <c r="C25" s="8" t="n">
        <f aca="false">Model_B!C10</f>
        <v>50640</v>
      </c>
      <c r="D25" s="8" t="n">
        <f aca="false">Model_B!D10</f>
        <v>142980</v>
      </c>
      <c r="E25" s="8" t="n">
        <f aca="false">Model_B!E10</f>
        <v>265788</v>
      </c>
      <c r="F25" s="8" t="n">
        <f aca="false">Model_B!F10</f>
        <v>429472.8</v>
      </c>
    </row>
    <row r="26" customFormat="false" ht="15" hidden="false" customHeight="false" outlineLevel="0" collapsed="false">
      <c r="A26" s="9" t="s">
        <v>11</v>
      </c>
      <c r="B26" s="10" t="n">
        <f aca="false">Model_B!B21</f>
        <v>302356.8</v>
      </c>
      <c r="C26" s="10" t="n">
        <f aca="false">Model_B!C21</f>
        <v>1945074.24</v>
      </c>
      <c r="D26" s="10" t="n">
        <f aca="false">Model_B!D21</f>
        <v>6572585.52</v>
      </c>
      <c r="E26" s="10" t="n">
        <f aca="false">Model_B!E21</f>
        <v>14713868.928</v>
      </c>
      <c r="F26" s="10" t="n">
        <f aca="false">Model_B!F21</f>
        <v>26304521.3568</v>
      </c>
    </row>
    <row r="27" customFormat="false" ht="15" hidden="false" customHeight="false" outlineLevel="0" collapsed="false">
      <c r="A27" s="7" t="s">
        <v>12</v>
      </c>
      <c r="B27" s="11" t="n">
        <f aca="false">Model_B!B19+Model_B!B20</f>
        <v>0</v>
      </c>
      <c r="C27" s="11" t="n">
        <f aca="false">Model_B!C19+Model_B!C20</f>
        <v>225000</v>
      </c>
      <c r="D27" s="11" t="n">
        <f aca="false">Model_B!D19+Model_B!D20</f>
        <v>1152000</v>
      </c>
      <c r="E27" s="11" t="n">
        <f aca="false">Model_B!E19+Model_B!E20</f>
        <v>3270000</v>
      </c>
      <c r="F27" s="11" t="n">
        <f aca="false">Model_B!F19+Model_B!F20</f>
        <v>6840000</v>
      </c>
    </row>
    <row r="28" customFormat="false" ht="15" hidden="false" customHeight="false" outlineLevel="0" collapsed="false">
      <c r="A28" s="7" t="s">
        <v>13</v>
      </c>
      <c r="B28" s="11" t="n">
        <f aca="false">Model_B!B28</f>
        <v>3547500</v>
      </c>
      <c r="C28" s="11" t="n">
        <f aca="false">Model_B!C28</f>
        <v>7873800</v>
      </c>
      <c r="D28" s="11" t="n">
        <f aca="false">Model_B!D28</f>
        <v>13167000</v>
      </c>
      <c r="E28" s="11" t="n">
        <f aca="false">Model_B!E28</f>
        <v>18110400</v>
      </c>
      <c r="F28" s="11" t="n">
        <f aca="false">Model_B!F28</f>
        <v>23100000</v>
      </c>
    </row>
    <row r="29" customFormat="false" ht="15" hidden="false" customHeight="false" outlineLevel="0" collapsed="false">
      <c r="A29" s="9" t="s">
        <v>14</v>
      </c>
      <c r="B29" s="10" t="n">
        <f aca="false">Model_B!B31</f>
        <v>-3245143.2</v>
      </c>
      <c r="C29" s="10" t="n">
        <f aca="false">Model_B!C31</f>
        <v>-5928725.76</v>
      </c>
      <c r="D29" s="10" t="n">
        <f aca="false">Model_B!D31</f>
        <v>-6594414.48</v>
      </c>
      <c r="E29" s="10" t="n">
        <f aca="false">Model_B!E31</f>
        <v>-3396531.072</v>
      </c>
      <c r="F29" s="10" t="n">
        <f aca="false">Model_B!F31</f>
        <v>3204521.3568</v>
      </c>
    </row>
    <row r="30" customFormat="false" ht="15" hidden="false" customHeight="false" outlineLevel="0" collapsed="false">
      <c r="A30" s="7" t="s">
        <v>15</v>
      </c>
      <c r="B30" s="12" t="n">
        <f aca="false">Model_B!B32</f>
        <v>-10.7328269117811</v>
      </c>
      <c r="C30" s="12" t="n">
        <f aca="false">Model_B!C32</f>
        <v>-3.04807170753544</v>
      </c>
      <c r="D30" s="12" t="n">
        <f aca="false">Model_B!D32</f>
        <v>-1.00332121353668</v>
      </c>
      <c r="E30" s="12" t="n">
        <f aca="false">Model_B!E32</f>
        <v>-0.230838747349211</v>
      </c>
      <c r="F30" s="12" t="n">
        <f aca="false">Model_B!F32</f>
        <v>0.12182397517648</v>
      </c>
    </row>
    <row r="31" customFormat="false" ht="15" hidden="false" customHeight="false" outlineLevel="0" collapsed="false">
      <c r="A31" s="7" t="s">
        <v>16</v>
      </c>
      <c r="B31" s="8" t="n">
        <f aca="false">Assumptions_B!B17</f>
        <v>9</v>
      </c>
      <c r="C31" s="8" t="n">
        <f aca="false">Assumptions_B!C17</f>
        <v>16</v>
      </c>
      <c r="D31" s="8" t="n">
        <f aca="false">Assumptions_B!D17</f>
        <v>28</v>
      </c>
      <c r="E31" s="8" t="n">
        <f aca="false">Assumptions_B!E17</f>
        <v>42</v>
      </c>
      <c r="F31" s="8" t="n">
        <f aca="false">Assumptions_B!F17</f>
        <v>60</v>
      </c>
    </row>
    <row r="32" customFormat="false" ht="15" hidden="false" customHeight="false" outlineLevel="0" collapsed="false">
      <c r="A32" s="7" t="s">
        <v>17</v>
      </c>
      <c r="B32" s="11" t="n">
        <f aca="false">Model_B!B33</f>
        <v>-3245143.2</v>
      </c>
      <c r="C32" s="11" t="n">
        <f aca="false">Model_B!C33</f>
        <v>-9173868.96</v>
      </c>
      <c r="D32" s="11" t="n">
        <f aca="false">Model_B!D33</f>
        <v>-15768283.44</v>
      </c>
      <c r="E32" s="11" t="n">
        <f aca="false">Model_B!E33</f>
        <v>-19164814.512</v>
      </c>
      <c r="F32" s="11" t="n">
        <f aca="false">Model_B!F33</f>
        <v>-15960293.1552</v>
      </c>
    </row>
    <row r="34" customFormat="false" ht="15" hidden="false" customHeight="false" outlineLevel="0" collapsed="false">
      <c r="A34" s="7" t="s">
        <v>18</v>
      </c>
      <c r="B34" s="13" t="n">
        <f aca="false">-MIN(Model_B!B33:F33)</f>
        <v>19164814.512</v>
      </c>
    </row>
    <row r="35" customFormat="false" ht="15" hidden="false" customHeight="false" outlineLevel="0" collapsed="false">
      <c r="A35" s="7" t="s">
        <v>19</v>
      </c>
      <c r="B35" s="0" t="str">
        <f aca="false">INDEX(Model_B!B4:F4,MATCH(MIN(Model_B!B33:F33),Model_B!B33:F33,0))</f>
        <v>2030</v>
      </c>
    </row>
    <row r="36" customFormat="false" ht="15" hidden="false" customHeight="false" outlineLevel="0" collapsed="false">
      <c r="A36" s="9" t="s">
        <v>20</v>
      </c>
      <c r="B36" s="14" t="n">
        <f aca="false">ROUNDUP(B34*(1+Assumptions_B!B23),-5)</f>
        <v>24000000</v>
      </c>
    </row>
    <row r="37" customFormat="false" ht="15" hidden="false" customHeight="false" outlineLevel="0" collapsed="false">
      <c r="A37" s="7" t="s">
        <v>21</v>
      </c>
      <c r="B37" s="13" t="n">
        <f aca="false">ROUNDUP(-MIN(0,Model_B!C33)*(1+Assumptions_B!B23),-5)</f>
        <v>11500000</v>
      </c>
    </row>
    <row r="38" customFormat="false" ht="15" hidden="false" customHeight="false" outlineLevel="0" collapsed="false">
      <c r="A38" s="7" t="s">
        <v>22</v>
      </c>
      <c r="B38" s="0" t="str">
        <f aca="false">IFERROR(INDEX(Model_B!B4:F4,MATCH(TRUE(),INDEX(Model_B!B31:F31&gt;0,0),0)),"beyond 2031")</f>
        <v>2031</v>
      </c>
    </row>
    <row r="40" customFormat="false" ht="15" hidden="false" customHeight="false" outlineLevel="0" collapsed="false">
      <c r="A40" s="15" t="s">
        <v>24</v>
      </c>
      <c r="B40" s="16"/>
      <c r="C40" s="16"/>
      <c r="D40" s="16"/>
      <c r="E40" s="16"/>
      <c r="F40" s="16"/>
      <c r="G40" s="16"/>
    </row>
    <row r="41" customFormat="false" ht="15" hidden="false" customHeight="false" outlineLevel="0" collapsed="false">
      <c r="A41" s="4" t="s">
        <v>3</v>
      </c>
      <c r="B41" s="4" t="s">
        <v>25</v>
      </c>
      <c r="C41" s="4" t="s">
        <v>26</v>
      </c>
      <c r="D41" s="4" t="s">
        <v>27</v>
      </c>
    </row>
    <row r="42" customFormat="false" ht="15" hidden="false" customHeight="false" outlineLevel="0" collapsed="false">
      <c r="A42" s="7" t="s">
        <v>28</v>
      </c>
      <c r="B42" s="17" t="n">
        <f aca="false">Model_A!F9</f>
        <v>2246712</v>
      </c>
      <c r="C42" s="17" t="n">
        <f aca="false">Model_B!F9</f>
        <v>8589456</v>
      </c>
      <c r="D42" s="18" t="n">
        <f aca="false">IF(B42=0,0,C42/B42)</f>
        <v>3.82312285686817</v>
      </c>
    </row>
    <row r="43" customFormat="false" ht="15" hidden="false" customHeight="false" outlineLevel="0" collapsed="false">
      <c r="A43" s="7" t="s">
        <v>29</v>
      </c>
      <c r="B43" s="13" t="n">
        <f aca="false">Model_A!F21</f>
        <v>6490578.9132</v>
      </c>
      <c r="C43" s="13" t="n">
        <f aca="false">Model_B!F21</f>
        <v>26304521.3568</v>
      </c>
      <c r="D43" s="18" t="n">
        <f aca="false">IF(B43=0,0,C43/B43)</f>
        <v>4.05272344864401</v>
      </c>
    </row>
    <row r="44" customFormat="false" ht="15" hidden="false" customHeight="false" outlineLevel="0" collapsed="false">
      <c r="A44" s="7" t="s">
        <v>30</v>
      </c>
      <c r="B44" s="13" t="n">
        <f aca="false">Model_A!F31</f>
        <v>1155578.9132</v>
      </c>
      <c r="C44" s="13" t="n">
        <f aca="false">Model_B!F31</f>
        <v>3204521.3568</v>
      </c>
      <c r="D44" s="18" t="n">
        <f aca="false">IF(B44=0,0,C44/B44)</f>
        <v>2.77308742847004</v>
      </c>
    </row>
    <row r="45" customFormat="false" ht="15" hidden="false" customHeight="false" outlineLevel="0" collapsed="false">
      <c r="A45" s="7" t="s">
        <v>31</v>
      </c>
      <c r="B45" s="13" t="n">
        <f aca="false">ROUNDUP(-MIN(Model_A!B33:F33)*(1+Assumptions_A!B23),-5)</f>
        <v>4300000</v>
      </c>
      <c r="C45" s="13" t="n">
        <f aca="false">ROUNDUP(-MIN(Model_B!B33:F33)*(1+Assumptions_B!B23),-5)</f>
        <v>24000000</v>
      </c>
      <c r="D45" s="18" t="n">
        <f aca="false">IF(B45=0,0,C45/B45)</f>
        <v>5.58139534883721</v>
      </c>
    </row>
    <row r="46" customFormat="false" ht="15" hidden="false" customHeight="false" outlineLevel="0" collapsed="false">
      <c r="A46" s="7" t="s">
        <v>32</v>
      </c>
      <c r="B46" s="13" t="n">
        <f aca="false">ROUNDUP(-MIN(0,Model_A!C33)*(1+Assumptions_A!B23),-5)</f>
        <v>1700000</v>
      </c>
      <c r="C46" s="13" t="n">
        <f aca="false">ROUNDUP(-MIN(0,Model_B!C33)*(1+Assumptions_B!B23),-5)</f>
        <v>11500000</v>
      </c>
      <c r="D46" s="18" t="n">
        <f aca="false">IF(B46=0,0,C46/B46)</f>
        <v>6.76470588235294</v>
      </c>
    </row>
    <row r="47" customFormat="false" ht="15" hidden="false" customHeight="false" outlineLevel="0" collapsed="false">
      <c r="A47" s="7" t="s">
        <v>33</v>
      </c>
      <c r="B47" s="13" t="n">
        <f aca="false">Model_A!B39</f>
        <v>133.333333333333</v>
      </c>
      <c r="C47" s="13" t="n">
        <f aca="false">Model_B!B39</f>
        <v>222.222222222222</v>
      </c>
      <c r="D47" s="18" t="n">
        <f aca="false">IF(B47=0,0,C47/B47)</f>
        <v>1.66666666666667</v>
      </c>
    </row>
    <row r="48" customFormat="false" ht="15" hidden="false" customHeight="false" outlineLevel="0" collapsed="false">
      <c r="A48" s="7" t="s">
        <v>34</v>
      </c>
      <c r="B48" s="13" t="n">
        <f aca="false">Model_A!F39</f>
        <v>40</v>
      </c>
      <c r="C48" s="13" t="n">
        <f aca="false">Model_B!F39</f>
        <v>53.3333333333333</v>
      </c>
      <c r="D48" s="18" t="n">
        <f aca="false">IF(B48=0,0,C48/B48)</f>
        <v>1.33333333333333</v>
      </c>
    </row>
    <row r="49" customFormat="false" ht="15" hidden="false" customHeight="false" outlineLevel="0" collapsed="false">
      <c r="A49" s="7" t="s">
        <v>35</v>
      </c>
      <c r="B49" s="19" t="n">
        <f aca="false">Model_A!F36</f>
        <v>50.9915</v>
      </c>
      <c r="C49" s="19" t="n">
        <f aca="false">Model_B!F36</f>
        <v>55.992</v>
      </c>
      <c r="D49" s="18" t="n">
        <f aca="false">IF(B49=0,0,C49/B49)</f>
        <v>1.09806536383515</v>
      </c>
    </row>
    <row r="51" customFormat="false" ht="15" hidden="false" customHeight="false" outlineLevel="0" collapsed="false">
      <c r="A51" s="2" t="s">
        <v>36</v>
      </c>
    </row>
    <row r="53" customFormat="false" ht="15" hidden="false" customHeight="false" outlineLevel="0" collapsed="false">
      <c r="A53" s="7" t="s">
        <v>37</v>
      </c>
      <c r="B53" s="20" t="n">
        <v>1.08</v>
      </c>
    </row>
    <row r="54" customFormat="false" ht="15" hidden="false" customHeight="false" outlineLevel="0" collapsed="false">
      <c r="A54" s="9" t="s">
        <v>38</v>
      </c>
      <c r="B54" s="21" t="n">
        <f aca="false">B45*$B$53</f>
        <v>4644000</v>
      </c>
      <c r="C54" s="21" t="n">
        <f aca="false">C45*$B$53</f>
        <v>25920000</v>
      </c>
    </row>
    <row r="55" customFormat="false" ht="15" hidden="false" customHeight="false" outlineLevel="0" collapsed="false">
      <c r="A55" s="7" t="s">
        <v>39</v>
      </c>
      <c r="B55" s="22" t="n">
        <f aca="false">B46*$B$53</f>
        <v>1836000</v>
      </c>
      <c r="C55" s="22" t="n">
        <f aca="false">C46*$B$53</f>
        <v>12420000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3"/>
    <col collapsed="false" customWidth="true" hidden="false" outlineLevel="0" max="7" min="7" style="0" width="95"/>
  </cols>
  <sheetData>
    <row r="1" customFormat="false" ht="17.3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4" t="s">
        <v>42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4" t="s">
        <v>43</v>
      </c>
    </row>
    <row r="5" customFormat="false" ht="15" hidden="false" customHeight="false" outlineLevel="0" collapsed="false">
      <c r="A5" s="7" t="s">
        <v>44</v>
      </c>
      <c r="B5" s="23" t="n">
        <v>150000</v>
      </c>
      <c r="C5" s="23" t="n">
        <v>600000</v>
      </c>
      <c r="D5" s="23" t="n">
        <v>1500000</v>
      </c>
      <c r="E5" s="23" t="n">
        <v>3000000</v>
      </c>
      <c r="F5" s="23" t="n">
        <v>5000000</v>
      </c>
      <c r="G5" s="2" t="s">
        <v>45</v>
      </c>
    </row>
    <row r="6" customFormat="false" ht="15" hidden="false" customHeight="false" outlineLevel="0" collapsed="false">
      <c r="A6" s="7" t="s">
        <v>46</v>
      </c>
      <c r="B6" s="24" t="n">
        <v>0.3</v>
      </c>
      <c r="G6" s="2" t="s">
        <v>47</v>
      </c>
    </row>
    <row r="7" customFormat="false" ht="15" hidden="false" customHeight="false" outlineLevel="0" collapsed="false">
      <c r="A7" s="7" t="s">
        <v>48</v>
      </c>
      <c r="B7" s="24" t="n">
        <v>0.6</v>
      </c>
      <c r="G7" s="2" t="s">
        <v>47</v>
      </c>
    </row>
    <row r="8" customFormat="false" ht="15" hidden="false" customHeight="false" outlineLevel="0" collapsed="false">
      <c r="A8" s="7" t="s">
        <v>49</v>
      </c>
      <c r="B8" s="25" t="n">
        <v>0.03</v>
      </c>
      <c r="C8" s="25" t="n">
        <v>0.04</v>
      </c>
      <c r="D8" s="25" t="n">
        <v>0.05</v>
      </c>
      <c r="E8" s="25" t="n">
        <v>0.05</v>
      </c>
      <c r="F8" s="25" t="n">
        <v>0.05</v>
      </c>
      <c r="G8" s="2" t="s">
        <v>50</v>
      </c>
    </row>
    <row r="9" customFormat="false" ht="15" hidden="false" customHeight="false" outlineLevel="0" collapsed="false">
      <c r="A9" s="7" t="s">
        <v>51</v>
      </c>
      <c r="B9" s="26" t="n">
        <v>59.99</v>
      </c>
      <c r="G9" s="2" t="s">
        <v>52</v>
      </c>
    </row>
    <row r="10" customFormat="false" ht="15" hidden="false" customHeight="false" outlineLevel="0" collapsed="false">
      <c r="A10" s="7" t="s">
        <v>53</v>
      </c>
      <c r="B10" s="24" t="n">
        <v>0.15</v>
      </c>
      <c r="G10" s="2" t="s">
        <v>54</v>
      </c>
    </row>
    <row r="11" customFormat="false" ht="15" hidden="false" customHeight="false" outlineLevel="0" collapsed="false">
      <c r="A11" s="7" t="s">
        <v>55</v>
      </c>
      <c r="B11" s="23" t="n">
        <v>0</v>
      </c>
      <c r="C11" s="23" t="n">
        <v>20</v>
      </c>
      <c r="D11" s="23" t="n">
        <v>80</v>
      </c>
      <c r="E11" s="23" t="n">
        <v>200</v>
      </c>
      <c r="F11" s="23" t="n">
        <v>400</v>
      </c>
      <c r="G11" s="2" t="s">
        <v>56</v>
      </c>
    </row>
    <row r="12" customFormat="false" ht="15" hidden="false" customHeight="false" outlineLevel="0" collapsed="false">
      <c r="A12" s="7" t="s">
        <v>57</v>
      </c>
      <c r="B12" s="27" t="n">
        <v>600</v>
      </c>
      <c r="G12" s="2" t="s">
        <v>47</v>
      </c>
    </row>
    <row r="13" customFormat="false" ht="15" hidden="false" customHeight="false" outlineLevel="0" collapsed="false">
      <c r="A13" s="7" t="s">
        <v>58</v>
      </c>
      <c r="B13" s="26" t="n">
        <v>4</v>
      </c>
      <c r="G13" s="2" t="s">
        <v>47</v>
      </c>
    </row>
    <row r="14" customFormat="false" ht="15" hidden="false" customHeight="false" outlineLevel="0" collapsed="false">
      <c r="A14" s="7" t="s">
        <v>59</v>
      </c>
      <c r="B14" s="23" t="n">
        <v>0</v>
      </c>
      <c r="C14" s="23" t="n">
        <v>5</v>
      </c>
      <c r="D14" s="23" t="n">
        <v>25</v>
      </c>
      <c r="E14" s="23" t="n">
        <v>80</v>
      </c>
      <c r="F14" s="23" t="n">
        <v>200</v>
      </c>
      <c r="G14" s="2" t="s">
        <v>56</v>
      </c>
    </row>
    <row r="15" customFormat="false" ht="15" hidden="false" customHeight="false" outlineLevel="0" collapsed="false">
      <c r="A15" s="7" t="s">
        <v>60</v>
      </c>
      <c r="B15" s="27" t="n">
        <v>150</v>
      </c>
      <c r="G15" s="2" t="s">
        <v>47</v>
      </c>
    </row>
    <row r="16" customFormat="false" ht="15" hidden="false" customHeight="false" outlineLevel="0" collapsed="false">
      <c r="A16" s="7" t="s">
        <v>61</v>
      </c>
      <c r="B16" s="26" t="n">
        <v>36</v>
      </c>
      <c r="G16" s="2" t="s">
        <v>62</v>
      </c>
    </row>
    <row r="17" customFormat="false" ht="15" hidden="false" customHeight="false" outlineLevel="0" collapsed="false">
      <c r="A17" s="7" t="s">
        <v>63</v>
      </c>
      <c r="B17" s="23" t="n">
        <v>4</v>
      </c>
      <c r="C17" s="23" t="n">
        <v>7</v>
      </c>
      <c r="D17" s="23" t="n">
        <v>12</v>
      </c>
      <c r="E17" s="23" t="n">
        <v>18</v>
      </c>
      <c r="F17" s="23" t="n">
        <v>25</v>
      </c>
      <c r="G17" s="2" t="s">
        <v>47</v>
      </c>
    </row>
    <row r="18" customFormat="false" ht="15" hidden="false" customHeight="false" outlineLevel="0" collapsed="false">
      <c r="A18" s="7" t="s">
        <v>64</v>
      </c>
      <c r="B18" s="28" t="n">
        <v>55000</v>
      </c>
      <c r="C18" s="28" t="n">
        <v>57000</v>
      </c>
      <c r="D18" s="28" t="n">
        <v>58000</v>
      </c>
      <c r="E18" s="28" t="n">
        <v>60000</v>
      </c>
      <c r="F18" s="28" t="n">
        <v>62000</v>
      </c>
      <c r="G18" s="2" t="s">
        <v>65</v>
      </c>
    </row>
    <row r="19" customFormat="false" ht="15" hidden="false" customHeight="false" outlineLevel="0" collapsed="false">
      <c r="A19" s="7" t="s">
        <v>66</v>
      </c>
      <c r="B19" s="29" t="n">
        <v>1.2</v>
      </c>
      <c r="C19" s="29" t="n">
        <v>1.1</v>
      </c>
      <c r="D19" s="29" t="n">
        <v>1</v>
      </c>
      <c r="E19" s="29" t="n">
        <v>0.8</v>
      </c>
      <c r="F19" s="29" t="n">
        <v>0.6</v>
      </c>
      <c r="G19" s="2" t="s">
        <v>67</v>
      </c>
    </row>
    <row r="20" customFormat="false" ht="15" hidden="false" customHeight="false" outlineLevel="0" collapsed="false">
      <c r="A20" s="7" t="s">
        <v>68</v>
      </c>
      <c r="B20" s="28" t="n">
        <v>24000</v>
      </c>
      <c r="C20" s="28" t="n">
        <v>48000</v>
      </c>
      <c r="D20" s="28" t="n">
        <v>100000</v>
      </c>
      <c r="E20" s="28" t="n">
        <v>200000</v>
      </c>
      <c r="F20" s="28" t="n">
        <v>300000</v>
      </c>
      <c r="G20" s="2" t="s">
        <v>69</v>
      </c>
    </row>
    <row r="21" customFormat="false" ht="15" hidden="false" customHeight="false" outlineLevel="0" collapsed="false">
      <c r="A21" s="7" t="s">
        <v>70</v>
      </c>
      <c r="B21" s="24" t="n">
        <v>0.1</v>
      </c>
      <c r="G21" s="2" t="s">
        <v>47</v>
      </c>
    </row>
    <row r="22" customFormat="false" ht="15" hidden="false" customHeight="false" outlineLevel="0" collapsed="false">
      <c r="A22" s="7" t="s">
        <v>71</v>
      </c>
      <c r="B22" s="30" t="n">
        <v>0</v>
      </c>
      <c r="G22" s="2" t="s">
        <v>72</v>
      </c>
    </row>
    <row r="23" customFormat="false" ht="15" hidden="false" customHeight="false" outlineLevel="0" collapsed="false">
      <c r="A23" s="7" t="s">
        <v>73</v>
      </c>
      <c r="B23" s="24" t="n">
        <v>0.25</v>
      </c>
      <c r="G23" s="2" t="s">
        <v>74</v>
      </c>
    </row>
    <row r="25" customFormat="false" ht="15" hidden="false" customHeight="false" outlineLevel="0" collapsed="false">
      <c r="A25" s="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4"/>
    <col collapsed="false" customWidth="true" hidden="false" outlineLevel="0" max="7" min="7" style="0" width="70"/>
  </cols>
  <sheetData>
    <row r="1" customFormat="false" ht="17.3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4" t="s">
        <v>78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4" t="s">
        <v>79</v>
      </c>
    </row>
    <row r="6" customFormat="false" ht="15" hidden="false" customHeight="false" outlineLevel="0" collapsed="false">
      <c r="A6" s="15" t="s">
        <v>80</v>
      </c>
      <c r="B6" s="16"/>
      <c r="C6" s="16"/>
      <c r="D6" s="16"/>
      <c r="E6" s="16"/>
      <c r="F6" s="16"/>
      <c r="G6" s="16"/>
    </row>
    <row r="7" customFormat="false" ht="15" hidden="false" customHeight="false" outlineLevel="0" collapsed="false">
      <c r="A7" s="7" t="s">
        <v>81</v>
      </c>
      <c r="B7" s="8" t="n">
        <f aca="false">Assumptions_A!B5</f>
        <v>150000</v>
      </c>
      <c r="C7" s="8" t="n">
        <f aca="false">Assumptions_A!C5</f>
        <v>600000</v>
      </c>
      <c r="D7" s="8" t="n">
        <f aca="false">Assumptions_A!D5</f>
        <v>1500000</v>
      </c>
      <c r="E7" s="8" t="n">
        <f aca="false">Assumptions_A!E5</f>
        <v>3000000</v>
      </c>
      <c r="F7" s="8" t="n">
        <f aca="false">Assumptions_A!F5</f>
        <v>5000000</v>
      </c>
      <c r="G7" s="2" t="s">
        <v>82</v>
      </c>
    </row>
    <row r="8" customFormat="false" ht="15" hidden="false" customHeight="false" outlineLevel="0" collapsed="false">
      <c r="A8" s="7" t="s">
        <v>83</v>
      </c>
      <c r="B8" s="31" t="n">
        <f aca="false">0</f>
        <v>0</v>
      </c>
      <c r="C8" s="31" t="n">
        <f aca="false">B9</f>
        <v>45000</v>
      </c>
      <c r="D8" s="31" t="n">
        <f aca="false">C9</f>
        <v>207000</v>
      </c>
      <c r="E8" s="31" t="n">
        <f aca="false">D9</f>
        <v>574200</v>
      </c>
      <c r="F8" s="31" t="n">
        <f aca="false">E9</f>
        <v>1244520</v>
      </c>
      <c r="G8" s="2" t="s">
        <v>84</v>
      </c>
    </row>
    <row r="9" customFormat="false" ht="15" hidden="false" customHeight="false" outlineLevel="0" collapsed="false">
      <c r="A9" s="7" t="s">
        <v>9</v>
      </c>
      <c r="B9" s="31" t="n">
        <f aca="false">B8*Assumptions_A!$B$7+B7*Assumptions_A!$B$6</f>
        <v>45000</v>
      </c>
      <c r="C9" s="31" t="n">
        <f aca="false">C8*Assumptions_A!$B$7+C7*Assumptions_A!$B$6</f>
        <v>207000</v>
      </c>
      <c r="D9" s="31" t="n">
        <f aca="false">D8*Assumptions_A!$B$7+D7*Assumptions_A!$B$6</f>
        <v>574200</v>
      </c>
      <c r="E9" s="31" t="n">
        <f aca="false">E8*Assumptions_A!$B$7+E7*Assumptions_A!$B$6</f>
        <v>1244520</v>
      </c>
      <c r="F9" s="31" t="n">
        <f aca="false">F8*Assumptions_A!$B$7+F7*Assumptions_A!$B$6</f>
        <v>2246712</v>
      </c>
      <c r="G9" s="2" t="s">
        <v>85</v>
      </c>
    </row>
    <row r="10" customFormat="false" ht="15" hidden="false" customHeight="false" outlineLevel="0" collapsed="false">
      <c r="A10" s="7" t="s">
        <v>10</v>
      </c>
      <c r="B10" s="31" t="n">
        <f aca="false">B9*Assumptions_A!B8</f>
        <v>1350</v>
      </c>
      <c r="C10" s="31" t="n">
        <f aca="false">C9*Assumptions_A!C8</f>
        <v>8280</v>
      </c>
      <c r="D10" s="31" t="n">
        <f aca="false">D9*Assumptions_A!D8</f>
        <v>28710</v>
      </c>
      <c r="E10" s="31" t="n">
        <f aca="false">E9*Assumptions_A!E8</f>
        <v>62226</v>
      </c>
      <c r="F10" s="31" t="n">
        <f aca="false">F9*Assumptions_A!F8</f>
        <v>112335.6</v>
      </c>
      <c r="G10" s="2" t="s">
        <v>86</v>
      </c>
    </row>
    <row r="11" customFormat="false" ht="15" hidden="false" customHeight="false" outlineLevel="0" collapsed="false">
      <c r="A11" s="7" t="s">
        <v>87</v>
      </c>
      <c r="B11" s="31" t="n">
        <f aca="false">(0+B10)/2</f>
        <v>675</v>
      </c>
      <c r="C11" s="31" t="n">
        <f aca="false">(B10+C10)/2</f>
        <v>4815</v>
      </c>
      <c r="D11" s="31" t="n">
        <f aca="false">(C10+D10)/2</f>
        <v>18495</v>
      </c>
      <c r="E11" s="31" t="n">
        <f aca="false">(D10+E10)/2</f>
        <v>45468</v>
      </c>
      <c r="F11" s="31" t="n">
        <f aca="false">(E10+F10)/2</f>
        <v>87280.8</v>
      </c>
      <c r="G11" s="2" t="s">
        <v>88</v>
      </c>
    </row>
    <row r="12" customFormat="false" ht="15" hidden="false" customHeight="false" outlineLevel="0" collapsed="false">
      <c r="A12" s="7" t="s">
        <v>89</v>
      </c>
      <c r="B12" s="31" t="n">
        <f aca="false">Assumptions_A!B11*Assumptions_A!$B$12</f>
        <v>0</v>
      </c>
      <c r="C12" s="31" t="n">
        <f aca="false">Assumptions_A!C11*Assumptions_A!$B$12</f>
        <v>12000</v>
      </c>
      <c r="D12" s="31" t="n">
        <f aca="false">Assumptions_A!D11*Assumptions_A!$B$12</f>
        <v>48000</v>
      </c>
      <c r="E12" s="31" t="n">
        <f aca="false">Assumptions_A!E11*Assumptions_A!$B$12</f>
        <v>120000</v>
      </c>
      <c r="F12" s="31" t="n">
        <f aca="false">Assumptions_A!F11*Assumptions_A!$B$12</f>
        <v>240000</v>
      </c>
      <c r="G12" s="2" t="s">
        <v>90</v>
      </c>
    </row>
    <row r="13" customFormat="false" ht="15" hidden="false" customHeight="false" outlineLevel="0" collapsed="false">
      <c r="A13" s="7" t="s">
        <v>91</v>
      </c>
      <c r="B13" s="31" t="n">
        <f aca="false">Assumptions_A!B14*Assumptions_A!$B$15</f>
        <v>0</v>
      </c>
      <c r="C13" s="31" t="n">
        <f aca="false">Assumptions_A!C14*Assumptions_A!$B$15</f>
        <v>750</v>
      </c>
      <c r="D13" s="31" t="n">
        <f aca="false">Assumptions_A!D14*Assumptions_A!$B$15</f>
        <v>3750</v>
      </c>
      <c r="E13" s="31" t="n">
        <f aca="false">Assumptions_A!E14*Assumptions_A!$B$15</f>
        <v>12000</v>
      </c>
      <c r="F13" s="31" t="n">
        <f aca="false">Assumptions_A!F14*Assumptions_A!$B$15</f>
        <v>30000</v>
      </c>
      <c r="G13" s="2" t="s">
        <v>92</v>
      </c>
    </row>
    <row r="15" customFormat="false" ht="15" hidden="false" customHeight="false" outlineLevel="0" collapsed="false">
      <c r="A15" s="15" t="s">
        <v>93</v>
      </c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7" t="s">
        <v>94</v>
      </c>
      <c r="B16" s="32" t="n">
        <f aca="false">B11*Assumptions_A!$B$9</f>
        <v>40493.25</v>
      </c>
      <c r="C16" s="32" t="n">
        <f aca="false">C11*Assumptions_A!$B$9</f>
        <v>288851.85</v>
      </c>
      <c r="D16" s="32" t="n">
        <f aca="false">D11*Assumptions_A!$B$9</f>
        <v>1109515.05</v>
      </c>
      <c r="E16" s="32" t="n">
        <f aca="false">E11*Assumptions_A!$B$9</f>
        <v>2727625.32</v>
      </c>
      <c r="F16" s="32" t="n">
        <f aca="false">F11*Assumptions_A!$B$9</f>
        <v>5235975.192</v>
      </c>
      <c r="G16" s="2" t="s">
        <v>95</v>
      </c>
    </row>
    <row r="17" customFormat="false" ht="15" hidden="false" customHeight="false" outlineLevel="0" collapsed="false">
      <c r="A17" s="7" t="s">
        <v>96</v>
      </c>
      <c r="B17" s="32" t="n">
        <f aca="false">-B16*Assumptions_A!$B$10</f>
        <v>-6073.9875</v>
      </c>
      <c r="C17" s="32" t="n">
        <f aca="false">-C16*Assumptions_A!$B$10</f>
        <v>-43327.7775</v>
      </c>
      <c r="D17" s="32" t="n">
        <f aca="false">-D16*Assumptions_A!$B$10</f>
        <v>-166427.2575</v>
      </c>
      <c r="E17" s="32" t="n">
        <f aca="false">-E16*Assumptions_A!$B$10</f>
        <v>-409143.798</v>
      </c>
      <c r="F17" s="32" t="n">
        <f aca="false">-F16*Assumptions_A!$B$10</f>
        <v>-785396.2788</v>
      </c>
      <c r="G17" s="2" t="s">
        <v>97</v>
      </c>
    </row>
    <row r="18" customFormat="false" ht="15" hidden="false" customHeight="false" outlineLevel="0" collapsed="false">
      <c r="A18" s="7" t="s">
        <v>98</v>
      </c>
      <c r="B18" s="32" t="n">
        <f aca="false">B16+B17</f>
        <v>34419.2625</v>
      </c>
      <c r="C18" s="32" t="n">
        <f aca="false">C16+C17</f>
        <v>245524.0725</v>
      </c>
      <c r="D18" s="32" t="n">
        <f aca="false">D16+D17</f>
        <v>943087.7925</v>
      </c>
      <c r="E18" s="32" t="n">
        <f aca="false">E16+E17</f>
        <v>2318481.522</v>
      </c>
      <c r="F18" s="32" t="n">
        <f aca="false">F16+F17</f>
        <v>4450578.9132</v>
      </c>
      <c r="G18" s="2"/>
    </row>
    <row r="19" customFormat="false" ht="15" hidden="false" customHeight="false" outlineLevel="0" collapsed="false">
      <c r="A19" s="7" t="s">
        <v>99</v>
      </c>
      <c r="B19" s="32" t="n">
        <f aca="false">B12*Assumptions_A!$B$13</f>
        <v>0</v>
      </c>
      <c r="C19" s="32" t="n">
        <f aca="false">C12*Assumptions_A!$B$13</f>
        <v>48000</v>
      </c>
      <c r="D19" s="32" t="n">
        <f aca="false">D12*Assumptions_A!$B$13</f>
        <v>192000</v>
      </c>
      <c r="E19" s="32" t="n">
        <f aca="false">E12*Assumptions_A!$B$13</f>
        <v>480000</v>
      </c>
      <c r="F19" s="32" t="n">
        <f aca="false">F12*Assumptions_A!$B$13</f>
        <v>960000</v>
      </c>
      <c r="G19" s="2" t="s">
        <v>100</v>
      </c>
    </row>
    <row r="20" customFormat="false" ht="15" hidden="false" customHeight="false" outlineLevel="0" collapsed="false">
      <c r="A20" s="7" t="s">
        <v>101</v>
      </c>
      <c r="B20" s="32" t="n">
        <f aca="false">B13*Assumptions_A!$B$16</f>
        <v>0</v>
      </c>
      <c r="C20" s="32" t="n">
        <f aca="false">C13*Assumptions_A!$B$16</f>
        <v>27000</v>
      </c>
      <c r="D20" s="32" t="n">
        <f aca="false">D13*Assumptions_A!$B$16</f>
        <v>135000</v>
      </c>
      <c r="E20" s="32" t="n">
        <f aca="false">E13*Assumptions_A!$B$16</f>
        <v>432000</v>
      </c>
      <c r="F20" s="32" t="n">
        <f aca="false">F13*Assumptions_A!$B$16</f>
        <v>1080000</v>
      </c>
      <c r="G20" s="2" t="s">
        <v>102</v>
      </c>
    </row>
    <row r="21" customFormat="false" ht="15" hidden="false" customHeight="false" outlineLevel="0" collapsed="false">
      <c r="A21" s="9" t="s">
        <v>11</v>
      </c>
      <c r="B21" s="14" t="n">
        <f aca="false">B18+B19+B20</f>
        <v>34419.2625</v>
      </c>
      <c r="C21" s="14" t="n">
        <f aca="false">C18+C19+C20</f>
        <v>320524.0725</v>
      </c>
      <c r="D21" s="14" t="n">
        <f aca="false">D18+D19+D20</f>
        <v>1270087.7925</v>
      </c>
      <c r="E21" s="14" t="n">
        <f aca="false">E18+E19+E20</f>
        <v>3230481.522</v>
      </c>
      <c r="F21" s="14" t="n">
        <f aca="false">F18+F19+F20</f>
        <v>6490578.9132</v>
      </c>
      <c r="G21" s="2"/>
    </row>
    <row r="23" customFormat="false" ht="15" hidden="false" customHeight="false" outlineLevel="0" collapsed="false">
      <c r="A23" s="15" t="s">
        <v>103</v>
      </c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7" t="s">
        <v>104</v>
      </c>
      <c r="B24" s="32" t="n">
        <f aca="false">Assumptions_A!B17*Assumptions_A!B18</f>
        <v>220000</v>
      </c>
      <c r="C24" s="32" t="n">
        <f aca="false">Assumptions_A!C17*Assumptions_A!C18</f>
        <v>399000</v>
      </c>
      <c r="D24" s="32" t="n">
        <f aca="false">Assumptions_A!D17*Assumptions_A!D18</f>
        <v>696000</v>
      </c>
      <c r="E24" s="32" t="n">
        <f aca="false">Assumptions_A!E17*Assumptions_A!E18</f>
        <v>1080000</v>
      </c>
      <c r="F24" s="32" t="n">
        <f aca="false">Assumptions_A!F17*Assumptions_A!F18</f>
        <v>1550000</v>
      </c>
      <c r="G24" s="2" t="s">
        <v>105</v>
      </c>
    </row>
    <row r="25" customFormat="false" ht="15" hidden="false" customHeight="false" outlineLevel="0" collapsed="false">
      <c r="A25" s="7" t="s">
        <v>106</v>
      </c>
      <c r="B25" s="32" t="n">
        <f aca="false">B7*Assumptions_A!B19</f>
        <v>180000</v>
      </c>
      <c r="C25" s="32" t="n">
        <f aca="false">C7*Assumptions_A!C19</f>
        <v>660000</v>
      </c>
      <c r="D25" s="32" t="n">
        <f aca="false">D7*Assumptions_A!D19</f>
        <v>1500000</v>
      </c>
      <c r="E25" s="32" t="n">
        <f aca="false">E7*Assumptions_A!E19</f>
        <v>2400000</v>
      </c>
      <c r="F25" s="32" t="n">
        <f aca="false">F7*Assumptions_A!F19</f>
        <v>3000000</v>
      </c>
      <c r="G25" s="2" t="s">
        <v>107</v>
      </c>
    </row>
    <row r="26" customFormat="false" ht="15" hidden="false" customHeight="false" outlineLevel="0" collapsed="false">
      <c r="A26" s="7" t="s">
        <v>108</v>
      </c>
      <c r="B26" s="11" t="n">
        <f aca="false">Assumptions_A!B20</f>
        <v>24000</v>
      </c>
      <c r="C26" s="11" t="n">
        <f aca="false">Assumptions_A!C20</f>
        <v>48000</v>
      </c>
      <c r="D26" s="11" t="n">
        <f aca="false">Assumptions_A!D20</f>
        <v>100000</v>
      </c>
      <c r="E26" s="11" t="n">
        <f aca="false">Assumptions_A!E20</f>
        <v>200000</v>
      </c>
      <c r="F26" s="11" t="n">
        <f aca="false">Assumptions_A!F20</f>
        <v>300000</v>
      </c>
      <c r="G26" s="2" t="s">
        <v>82</v>
      </c>
    </row>
    <row r="27" customFormat="false" ht="15" hidden="false" customHeight="false" outlineLevel="0" collapsed="false">
      <c r="A27" s="7" t="s">
        <v>109</v>
      </c>
      <c r="B27" s="32" t="n">
        <f aca="false">(B24+B25+B26)*Assumptions_A!$B$21</f>
        <v>42400</v>
      </c>
      <c r="C27" s="32" t="n">
        <f aca="false">(C24+C25+C26)*Assumptions_A!$B$21</f>
        <v>110700</v>
      </c>
      <c r="D27" s="32" t="n">
        <f aca="false">(D24+D25+D26)*Assumptions_A!$B$21</f>
        <v>229600</v>
      </c>
      <c r="E27" s="32" t="n">
        <f aca="false">(E24+E25+E26)*Assumptions_A!$B$21</f>
        <v>368000</v>
      </c>
      <c r="F27" s="32" t="n">
        <f aca="false">(F24+F25+F26)*Assumptions_A!$B$21</f>
        <v>485000</v>
      </c>
      <c r="G27" s="2" t="s">
        <v>110</v>
      </c>
    </row>
    <row r="28" customFormat="false" ht="15" hidden="false" customHeight="false" outlineLevel="0" collapsed="false">
      <c r="A28" s="9" t="s">
        <v>13</v>
      </c>
      <c r="B28" s="14" t="n">
        <f aca="false">SUM(B24:B27)</f>
        <v>466400</v>
      </c>
      <c r="C28" s="14" t="n">
        <f aca="false">SUM(C24:C27)</f>
        <v>1217700</v>
      </c>
      <c r="D28" s="14" t="n">
        <f aca="false">SUM(D24:D27)</f>
        <v>2525600</v>
      </c>
      <c r="E28" s="14" t="n">
        <f aca="false">SUM(E24:E27)</f>
        <v>4048000</v>
      </c>
      <c r="F28" s="14" t="n">
        <f aca="false">SUM(F24:F27)</f>
        <v>5335000</v>
      </c>
      <c r="G28" s="2"/>
    </row>
    <row r="30" customFormat="false" ht="15" hidden="false" customHeight="false" outlineLevel="0" collapsed="false">
      <c r="A30" s="15" t="s">
        <v>111</v>
      </c>
      <c r="B30" s="16"/>
      <c r="C30" s="16"/>
      <c r="D30" s="16"/>
      <c r="E30" s="16"/>
      <c r="F30" s="16"/>
      <c r="G30" s="16"/>
    </row>
    <row r="31" customFormat="false" ht="15" hidden="false" customHeight="false" outlineLevel="0" collapsed="false">
      <c r="A31" s="9" t="s">
        <v>14</v>
      </c>
      <c r="B31" s="14" t="n">
        <f aca="false">B21-B28</f>
        <v>-431980.7375</v>
      </c>
      <c r="C31" s="14" t="n">
        <f aca="false">C21-C28</f>
        <v>-897175.9275</v>
      </c>
      <c r="D31" s="14" t="n">
        <f aca="false">D21-D28</f>
        <v>-1255512.2075</v>
      </c>
      <c r="E31" s="14" t="n">
        <f aca="false">E21-E28</f>
        <v>-817518.478</v>
      </c>
      <c r="F31" s="14" t="n">
        <f aca="false">F21-F28</f>
        <v>1155578.9132</v>
      </c>
      <c r="G31" s="2" t="s">
        <v>112</v>
      </c>
    </row>
    <row r="32" customFormat="false" ht="15" hidden="false" customHeight="false" outlineLevel="0" collapsed="false">
      <c r="A32" s="7" t="s">
        <v>15</v>
      </c>
      <c r="B32" s="33" t="n">
        <f aca="false">IF(B21=0,0,B31/B21)</f>
        <v>-12.5505518167334</v>
      </c>
      <c r="C32" s="33" t="n">
        <f aca="false">IF(C21=0,0,C31/C21)</f>
        <v>-2.79909062836458</v>
      </c>
      <c r="D32" s="33" t="n">
        <f aca="false">IF(D21=0,0,D31/D21)</f>
        <v>-0.988523954732838</v>
      </c>
      <c r="E32" s="33" t="n">
        <f aca="false">IF(E21=0,0,E31/E21)</f>
        <v>-0.253063969700056</v>
      </c>
      <c r="F32" s="33" t="n">
        <f aca="false">IF(F21=0,0,F31/F21)</f>
        <v>0.178039421237123</v>
      </c>
      <c r="G32" s="2" t="s">
        <v>113</v>
      </c>
    </row>
    <row r="33" customFormat="false" ht="15" hidden="false" customHeight="false" outlineLevel="0" collapsed="false">
      <c r="A33" s="7" t="s">
        <v>114</v>
      </c>
      <c r="B33" s="32" t="n">
        <f aca="false">Assumptions_A!$B$22+B31</f>
        <v>-431980.7375</v>
      </c>
      <c r="C33" s="32" t="n">
        <f aca="false">B33+C31</f>
        <v>-1329156.665</v>
      </c>
      <c r="D33" s="32" t="n">
        <f aca="false">C33+D31</f>
        <v>-2584668.8725</v>
      </c>
      <c r="E33" s="32" t="n">
        <f aca="false">D33+E31</f>
        <v>-3402187.3505</v>
      </c>
      <c r="F33" s="32" t="n">
        <f aca="false">E33+F31</f>
        <v>-2246608.4373</v>
      </c>
      <c r="G33" s="2" t="s">
        <v>115</v>
      </c>
    </row>
    <row r="35" customFormat="false" ht="15" hidden="false" customHeight="false" outlineLevel="0" collapsed="false">
      <c r="A35" s="15" t="s">
        <v>116</v>
      </c>
      <c r="B35" s="16"/>
      <c r="C35" s="16"/>
      <c r="D35" s="16"/>
      <c r="E35" s="16"/>
      <c r="F35" s="16"/>
      <c r="G35" s="16"/>
    </row>
    <row r="36" customFormat="false" ht="15" hidden="false" customHeight="false" outlineLevel="0" collapsed="false">
      <c r="A36" s="7" t="s">
        <v>117</v>
      </c>
      <c r="B36" s="34" t="n">
        <f aca="false">IF(B11=0,0,B18/B11)</f>
        <v>50.9915</v>
      </c>
      <c r="C36" s="34" t="n">
        <f aca="false">IF(C11=0,0,C18/C11)</f>
        <v>50.9915</v>
      </c>
      <c r="D36" s="34" t="n">
        <f aca="false">IF(D11=0,0,D18/D11)</f>
        <v>50.9915</v>
      </c>
      <c r="E36" s="34" t="n">
        <f aca="false">IF(E11=0,0,E18/E11)</f>
        <v>50.9915</v>
      </c>
      <c r="F36" s="34" t="n">
        <f aca="false">IF(F11=0,0,F18/F11)</f>
        <v>50.9915</v>
      </c>
      <c r="G36" s="2" t="s">
        <v>118</v>
      </c>
    </row>
    <row r="37" customFormat="false" ht="15" hidden="false" customHeight="false" outlineLevel="0" collapsed="false">
      <c r="A37" s="7" t="s">
        <v>119</v>
      </c>
      <c r="B37" s="33" t="n">
        <f aca="false">IF(B21=0,0,(B19+B20)/B21)</f>
        <v>0</v>
      </c>
      <c r="C37" s="33" t="n">
        <f aca="false">IF(C21=0,0,(C19+C20)/C21)</f>
        <v>0.233991785437582</v>
      </c>
      <c r="D37" s="33" t="n">
        <f aca="false">IF(D21=0,0,(D19+D20)/D21)</f>
        <v>0.257462517103911</v>
      </c>
      <c r="E37" s="33" t="n">
        <f aca="false">IF(E21=0,0,(E19+E20)/E21)</f>
        <v>0.28231085483361</v>
      </c>
      <c r="F37" s="33" t="n">
        <f aca="false">IF(F21=0,0,(F19+F20)/F21)</f>
        <v>0.314301702094896</v>
      </c>
      <c r="G37" s="2" t="s">
        <v>120</v>
      </c>
    </row>
    <row r="38" customFormat="false" ht="15" hidden="false" customHeight="false" outlineLevel="0" collapsed="false">
      <c r="A38" s="7" t="s">
        <v>121</v>
      </c>
      <c r="B38" s="32" t="n">
        <f aca="false">IF(Assumptions_A!B17=0,0,B21/Assumptions_A!B17)</f>
        <v>8604.815625</v>
      </c>
      <c r="C38" s="32" t="n">
        <f aca="false">IF(Assumptions_A!C17=0,0,C21/Assumptions_A!C17)</f>
        <v>45789.1532142857</v>
      </c>
      <c r="D38" s="32" t="n">
        <f aca="false">IF(Assumptions_A!D17=0,0,D21/Assumptions_A!D17)</f>
        <v>105840.649375</v>
      </c>
      <c r="E38" s="32" t="n">
        <f aca="false">IF(Assumptions_A!E17=0,0,E21/Assumptions_A!E17)</f>
        <v>179471.195666667</v>
      </c>
      <c r="F38" s="32" t="n">
        <f aca="false">IF(Assumptions_A!F17=0,0,F21/Assumptions_A!F17)</f>
        <v>259623.156528</v>
      </c>
      <c r="G38" s="2"/>
    </row>
    <row r="39" customFormat="false" ht="15" hidden="false" customHeight="false" outlineLevel="0" collapsed="false">
      <c r="A39" s="7" t="s">
        <v>122</v>
      </c>
      <c r="B39" s="32" t="n">
        <f aca="false">IF(B10-B8*Assumptions_A!$B$7*Assumptions_A!B8&lt;=0,0,B25/(B10-B8*Assumptions_A!$B$7*Assumptions_A!B8))</f>
        <v>133.333333333333</v>
      </c>
      <c r="C39" s="32" t="n">
        <f aca="false">IF(C10-C8*Assumptions_A!$B$7*Assumptions_A!C8&lt;=0,0,C25/(C10-C8*Assumptions_A!$B$7*Assumptions_A!C8))</f>
        <v>91.6666666666667</v>
      </c>
      <c r="D39" s="32" t="n">
        <f aca="false">IF(D10-D8*Assumptions_A!$B$7*Assumptions_A!D8&lt;=0,0,D25/(D10-D8*Assumptions_A!$B$7*Assumptions_A!D8))</f>
        <v>66.6666666666667</v>
      </c>
      <c r="E39" s="32" t="n">
        <f aca="false">IF(E10-E8*Assumptions_A!$B$7*Assumptions_A!E8&lt;=0,0,E25/(E10-E8*Assumptions_A!$B$7*Assumptions_A!E8))</f>
        <v>53.3333333333333</v>
      </c>
      <c r="F39" s="32" t="n">
        <f aca="false">IF(F10-F8*Assumptions_A!$B$7*Assumptions_A!F8&lt;=0,0,F25/(F10-F8*Assumptions_A!$B$7*Assumptions_A!F8))</f>
        <v>40</v>
      </c>
      <c r="G39" s="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3"/>
    <col collapsed="false" customWidth="true" hidden="false" outlineLevel="0" max="7" min="7" style="0" width="95"/>
  </cols>
  <sheetData>
    <row r="1" customFormat="false" ht="17.35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4" t="s">
        <v>42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4" t="s">
        <v>43</v>
      </c>
    </row>
    <row r="5" customFormat="false" ht="15" hidden="false" customHeight="false" outlineLevel="0" collapsed="false">
      <c r="A5" s="7" t="s">
        <v>44</v>
      </c>
      <c r="B5" s="23" t="n">
        <v>1200000</v>
      </c>
      <c r="C5" s="23" t="n">
        <v>3500000</v>
      </c>
      <c r="D5" s="23" t="n">
        <v>7000000</v>
      </c>
      <c r="E5" s="23" t="n">
        <v>12000000</v>
      </c>
      <c r="F5" s="23" t="n">
        <v>18000000</v>
      </c>
      <c r="G5" s="2" t="s">
        <v>125</v>
      </c>
    </row>
    <row r="6" customFormat="false" ht="15" hidden="false" customHeight="false" outlineLevel="0" collapsed="false">
      <c r="A6" s="7" t="s">
        <v>46</v>
      </c>
      <c r="B6" s="24" t="n">
        <v>0.3</v>
      </c>
      <c r="G6" s="2" t="s">
        <v>47</v>
      </c>
    </row>
    <row r="7" customFormat="false" ht="15" hidden="false" customHeight="false" outlineLevel="0" collapsed="false">
      <c r="A7" s="7" t="s">
        <v>48</v>
      </c>
      <c r="B7" s="24" t="n">
        <v>0.6</v>
      </c>
      <c r="G7" s="2" t="s">
        <v>47</v>
      </c>
    </row>
    <row r="8" customFormat="false" ht="15" hidden="false" customHeight="false" outlineLevel="0" collapsed="false">
      <c r="A8" s="7" t="s">
        <v>49</v>
      </c>
      <c r="B8" s="25" t="n">
        <v>0.03</v>
      </c>
      <c r="C8" s="25" t="n">
        <v>0.04</v>
      </c>
      <c r="D8" s="25" t="n">
        <v>0.05</v>
      </c>
      <c r="E8" s="25" t="n">
        <v>0.05</v>
      </c>
      <c r="F8" s="25" t="n">
        <v>0.05</v>
      </c>
      <c r="G8" s="2" t="s">
        <v>50</v>
      </c>
    </row>
    <row r="9" customFormat="false" ht="15" hidden="false" customHeight="false" outlineLevel="0" collapsed="false">
      <c r="A9" s="7" t="s">
        <v>51</v>
      </c>
      <c r="B9" s="26" t="n">
        <v>69.99</v>
      </c>
      <c r="G9" s="2" t="s">
        <v>126</v>
      </c>
    </row>
    <row r="10" customFormat="false" ht="15" hidden="false" customHeight="false" outlineLevel="0" collapsed="false">
      <c r="A10" s="7" t="s">
        <v>53</v>
      </c>
      <c r="B10" s="24" t="n">
        <v>0.2</v>
      </c>
      <c r="G10" s="2" t="s">
        <v>127</v>
      </c>
    </row>
    <row r="11" customFormat="false" ht="15" hidden="false" customHeight="false" outlineLevel="0" collapsed="false">
      <c r="A11" s="7" t="s">
        <v>55</v>
      </c>
      <c r="B11" s="23" t="n">
        <v>0</v>
      </c>
      <c r="C11" s="23" t="n">
        <v>60</v>
      </c>
      <c r="D11" s="23" t="n">
        <v>300</v>
      </c>
      <c r="E11" s="23" t="n">
        <v>800</v>
      </c>
      <c r="F11" s="23" t="n">
        <v>1500</v>
      </c>
      <c r="G11" s="2" t="s">
        <v>56</v>
      </c>
    </row>
    <row r="12" customFormat="false" ht="15" hidden="false" customHeight="false" outlineLevel="0" collapsed="false">
      <c r="A12" s="7" t="s">
        <v>57</v>
      </c>
      <c r="B12" s="27" t="n">
        <v>600</v>
      </c>
      <c r="G12" s="2" t="s">
        <v>47</v>
      </c>
    </row>
    <row r="13" customFormat="false" ht="15" hidden="false" customHeight="false" outlineLevel="0" collapsed="false">
      <c r="A13" s="7" t="s">
        <v>58</v>
      </c>
      <c r="B13" s="26" t="n">
        <v>4</v>
      </c>
      <c r="G13" s="2" t="s">
        <v>47</v>
      </c>
    </row>
    <row r="14" customFormat="false" ht="15" hidden="false" customHeight="false" outlineLevel="0" collapsed="false">
      <c r="A14" s="7" t="s">
        <v>59</v>
      </c>
      <c r="B14" s="23" t="n">
        <v>0</v>
      </c>
      <c r="C14" s="23" t="n">
        <v>15</v>
      </c>
      <c r="D14" s="23" t="n">
        <v>80</v>
      </c>
      <c r="E14" s="23" t="n">
        <v>250</v>
      </c>
      <c r="F14" s="23" t="n">
        <v>600</v>
      </c>
      <c r="G14" s="2" t="s">
        <v>56</v>
      </c>
    </row>
    <row r="15" customFormat="false" ht="15" hidden="false" customHeight="false" outlineLevel="0" collapsed="false">
      <c r="A15" s="7" t="s">
        <v>60</v>
      </c>
      <c r="B15" s="27" t="n">
        <v>150</v>
      </c>
      <c r="G15" s="2" t="s">
        <v>47</v>
      </c>
    </row>
    <row r="16" customFormat="false" ht="15" hidden="false" customHeight="false" outlineLevel="0" collapsed="false">
      <c r="A16" s="7" t="s">
        <v>61</v>
      </c>
      <c r="B16" s="26" t="n">
        <v>36</v>
      </c>
      <c r="G16" s="2" t="s">
        <v>62</v>
      </c>
    </row>
    <row r="17" customFormat="false" ht="15" hidden="false" customHeight="false" outlineLevel="0" collapsed="false">
      <c r="A17" s="7" t="s">
        <v>63</v>
      </c>
      <c r="B17" s="23" t="n">
        <v>9</v>
      </c>
      <c r="C17" s="23" t="n">
        <v>16</v>
      </c>
      <c r="D17" s="23" t="n">
        <v>28</v>
      </c>
      <c r="E17" s="23" t="n">
        <v>42</v>
      </c>
      <c r="F17" s="23" t="n">
        <v>60</v>
      </c>
      <c r="G17" s="2" t="s">
        <v>47</v>
      </c>
    </row>
    <row r="18" customFormat="false" ht="15" hidden="false" customHeight="false" outlineLevel="0" collapsed="false">
      <c r="A18" s="7" t="s">
        <v>64</v>
      </c>
      <c r="B18" s="28" t="n">
        <v>85000</v>
      </c>
      <c r="C18" s="28" t="n">
        <v>88000</v>
      </c>
      <c r="D18" s="28" t="n">
        <v>90000</v>
      </c>
      <c r="E18" s="28" t="n">
        <v>92000</v>
      </c>
      <c r="F18" s="28" t="n">
        <v>95000</v>
      </c>
      <c r="G18" s="2" t="s">
        <v>128</v>
      </c>
    </row>
    <row r="19" customFormat="false" ht="15" hidden="false" customHeight="false" outlineLevel="0" collapsed="false">
      <c r="A19" s="7" t="s">
        <v>66</v>
      </c>
      <c r="B19" s="29" t="n">
        <v>2</v>
      </c>
      <c r="C19" s="29" t="n">
        <v>1.6</v>
      </c>
      <c r="D19" s="29" t="n">
        <v>1.3</v>
      </c>
      <c r="E19" s="29" t="n">
        <v>1</v>
      </c>
      <c r="F19" s="29" t="n">
        <v>0.8</v>
      </c>
      <c r="G19" s="2" t="s">
        <v>129</v>
      </c>
    </row>
    <row r="20" customFormat="false" ht="15" hidden="false" customHeight="false" outlineLevel="0" collapsed="false">
      <c r="A20" s="7" t="s">
        <v>68</v>
      </c>
      <c r="B20" s="28" t="n">
        <v>60000</v>
      </c>
      <c r="C20" s="28" t="n">
        <v>150000</v>
      </c>
      <c r="D20" s="28" t="n">
        <v>350000</v>
      </c>
      <c r="E20" s="28" t="n">
        <v>600000</v>
      </c>
      <c r="F20" s="28" t="n">
        <v>900000</v>
      </c>
      <c r="G20" s="2" t="s">
        <v>69</v>
      </c>
    </row>
    <row r="21" customFormat="false" ht="15" hidden="false" customHeight="false" outlineLevel="0" collapsed="false">
      <c r="A21" s="7" t="s">
        <v>70</v>
      </c>
      <c r="B21" s="24" t="n">
        <v>0.1</v>
      </c>
      <c r="G21" s="2" t="s">
        <v>47</v>
      </c>
    </row>
    <row r="22" customFormat="false" ht="15" hidden="false" customHeight="false" outlineLevel="0" collapsed="false">
      <c r="A22" s="7" t="s">
        <v>71</v>
      </c>
      <c r="B22" s="30" t="n">
        <v>0</v>
      </c>
      <c r="G22" s="2" t="s">
        <v>72</v>
      </c>
    </row>
    <row r="23" customFormat="false" ht="15" hidden="false" customHeight="false" outlineLevel="0" collapsed="false">
      <c r="A23" s="7" t="s">
        <v>73</v>
      </c>
      <c r="B23" s="24" t="n">
        <v>0.25</v>
      </c>
      <c r="G23" s="2" t="s">
        <v>74</v>
      </c>
    </row>
    <row r="25" customFormat="false" ht="15" hidden="false" customHeight="false" outlineLevel="0" collapsed="false">
      <c r="A25" s="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4"/>
    <col collapsed="false" customWidth="true" hidden="false" outlineLevel="0" max="7" min="7" style="0" width="70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4" t="s">
        <v>78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4" t="s">
        <v>79</v>
      </c>
    </row>
    <row r="6" customFormat="false" ht="15" hidden="false" customHeight="false" outlineLevel="0" collapsed="false">
      <c r="A6" s="15" t="s">
        <v>80</v>
      </c>
      <c r="B6" s="16"/>
      <c r="C6" s="16"/>
      <c r="D6" s="16"/>
      <c r="E6" s="16"/>
      <c r="F6" s="16"/>
      <c r="G6" s="16"/>
    </row>
    <row r="7" customFormat="false" ht="15" hidden="false" customHeight="false" outlineLevel="0" collapsed="false">
      <c r="A7" s="7" t="s">
        <v>81</v>
      </c>
      <c r="B7" s="8" t="n">
        <f aca="false">Assumptions_B!B5</f>
        <v>1200000</v>
      </c>
      <c r="C7" s="8" t="n">
        <f aca="false">Assumptions_B!C5</f>
        <v>3500000</v>
      </c>
      <c r="D7" s="8" t="n">
        <f aca="false">Assumptions_B!D5</f>
        <v>7000000</v>
      </c>
      <c r="E7" s="8" t="n">
        <f aca="false">Assumptions_B!E5</f>
        <v>12000000</v>
      </c>
      <c r="F7" s="8" t="n">
        <f aca="false">Assumptions_B!F5</f>
        <v>18000000</v>
      </c>
      <c r="G7" s="2" t="s">
        <v>82</v>
      </c>
    </row>
    <row r="8" customFormat="false" ht="15" hidden="false" customHeight="false" outlineLevel="0" collapsed="false">
      <c r="A8" s="7" t="s">
        <v>83</v>
      </c>
      <c r="B8" s="31" t="n">
        <f aca="false">0</f>
        <v>0</v>
      </c>
      <c r="C8" s="31" t="n">
        <f aca="false">B9</f>
        <v>360000</v>
      </c>
      <c r="D8" s="31" t="n">
        <f aca="false">C9</f>
        <v>1266000</v>
      </c>
      <c r="E8" s="31" t="n">
        <f aca="false">D9</f>
        <v>2859600</v>
      </c>
      <c r="F8" s="31" t="n">
        <f aca="false">E9</f>
        <v>5315760</v>
      </c>
      <c r="G8" s="2" t="s">
        <v>84</v>
      </c>
    </row>
    <row r="9" customFormat="false" ht="15" hidden="false" customHeight="false" outlineLevel="0" collapsed="false">
      <c r="A9" s="7" t="s">
        <v>9</v>
      </c>
      <c r="B9" s="31" t="n">
        <f aca="false">B8*Assumptions_B!$B$7+B7*Assumptions_B!$B$6</f>
        <v>360000</v>
      </c>
      <c r="C9" s="31" t="n">
        <f aca="false">C8*Assumptions_B!$B$7+C7*Assumptions_B!$B$6</f>
        <v>1266000</v>
      </c>
      <c r="D9" s="31" t="n">
        <f aca="false">D8*Assumptions_B!$B$7+D7*Assumptions_B!$B$6</f>
        <v>2859600</v>
      </c>
      <c r="E9" s="31" t="n">
        <f aca="false">E8*Assumptions_B!$B$7+E7*Assumptions_B!$B$6</f>
        <v>5315760</v>
      </c>
      <c r="F9" s="31" t="n">
        <f aca="false">F8*Assumptions_B!$B$7+F7*Assumptions_B!$B$6</f>
        <v>8589456</v>
      </c>
      <c r="G9" s="2" t="s">
        <v>85</v>
      </c>
    </row>
    <row r="10" customFormat="false" ht="15" hidden="false" customHeight="false" outlineLevel="0" collapsed="false">
      <c r="A10" s="7" t="s">
        <v>10</v>
      </c>
      <c r="B10" s="31" t="n">
        <f aca="false">B9*Assumptions_B!B8</f>
        <v>10800</v>
      </c>
      <c r="C10" s="31" t="n">
        <f aca="false">C9*Assumptions_B!C8</f>
        <v>50640</v>
      </c>
      <c r="D10" s="31" t="n">
        <f aca="false">D9*Assumptions_B!D8</f>
        <v>142980</v>
      </c>
      <c r="E10" s="31" t="n">
        <f aca="false">E9*Assumptions_B!E8</f>
        <v>265788</v>
      </c>
      <c r="F10" s="31" t="n">
        <f aca="false">F9*Assumptions_B!F8</f>
        <v>429472.8</v>
      </c>
      <c r="G10" s="2" t="s">
        <v>86</v>
      </c>
    </row>
    <row r="11" customFormat="false" ht="15" hidden="false" customHeight="false" outlineLevel="0" collapsed="false">
      <c r="A11" s="7" t="s">
        <v>87</v>
      </c>
      <c r="B11" s="31" t="n">
        <f aca="false">(0+B10)/2</f>
        <v>5400</v>
      </c>
      <c r="C11" s="31" t="n">
        <f aca="false">(B10+C10)/2</f>
        <v>30720</v>
      </c>
      <c r="D11" s="31" t="n">
        <f aca="false">(C10+D10)/2</f>
        <v>96810</v>
      </c>
      <c r="E11" s="31" t="n">
        <f aca="false">(D10+E10)/2</f>
        <v>204384</v>
      </c>
      <c r="F11" s="31" t="n">
        <f aca="false">(E10+F10)/2</f>
        <v>347630.4</v>
      </c>
      <c r="G11" s="2" t="s">
        <v>88</v>
      </c>
    </row>
    <row r="12" customFormat="false" ht="15" hidden="false" customHeight="false" outlineLevel="0" collapsed="false">
      <c r="A12" s="7" t="s">
        <v>89</v>
      </c>
      <c r="B12" s="31" t="n">
        <f aca="false">Assumptions_B!B11*Assumptions_B!$B$12</f>
        <v>0</v>
      </c>
      <c r="C12" s="31" t="n">
        <f aca="false">Assumptions_B!C11*Assumptions_B!$B$12</f>
        <v>36000</v>
      </c>
      <c r="D12" s="31" t="n">
        <f aca="false">Assumptions_B!D11*Assumptions_B!$B$12</f>
        <v>180000</v>
      </c>
      <c r="E12" s="31" t="n">
        <f aca="false">Assumptions_B!E11*Assumptions_B!$B$12</f>
        <v>480000</v>
      </c>
      <c r="F12" s="31" t="n">
        <f aca="false">Assumptions_B!F11*Assumptions_B!$B$12</f>
        <v>900000</v>
      </c>
      <c r="G12" s="2" t="s">
        <v>90</v>
      </c>
    </row>
    <row r="13" customFormat="false" ht="15" hidden="false" customHeight="false" outlineLevel="0" collapsed="false">
      <c r="A13" s="7" t="s">
        <v>91</v>
      </c>
      <c r="B13" s="31" t="n">
        <f aca="false">Assumptions_B!B14*Assumptions_B!$B$15</f>
        <v>0</v>
      </c>
      <c r="C13" s="31" t="n">
        <f aca="false">Assumptions_B!C14*Assumptions_B!$B$15</f>
        <v>2250</v>
      </c>
      <c r="D13" s="31" t="n">
        <f aca="false">Assumptions_B!D14*Assumptions_B!$B$15</f>
        <v>12000</v>
      </c>
      <c r="E13" s="31" t="n">
        <f aca="false">Assumptions_B!E14*Assumptions_B!$B$15</f>
        <v>37500</v>
      </c>
      <c r="F13" s="31" t="n">
        <f aca="false">Assumptions_B!F14*Assumptions_B!$B$15</f>
        <v>90000</v>
      </c>
      <c r="G13" s="2" t="s">
        <v>92</v>
      </c>
    </row>
    <row r="15" customFormat="false" ht="15" hidden="false" customHeight="false" outlineLevel="0" collapsed="false">
      <c r="A15" s="15" t="s">
        <v>93</v>
      </c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7" t="s">
        <v>94</v>
      </c>
      <c r="B16" s="32" t="n">
        <f aca="false">B11*Assumptions_B!$B$9</f>
        <v>377946</v>
      </c>
      <c r="C16" s="32" t="n">
        <f aca="false">C11*Assumptions_B!$B$9</f>
        <v>2150092.8</v>
      </c>
      <c r="D16" s="32" t="n">
        <f aca="false">D11*Assumptions_B!$B$9</f>
        <v>6775731.9</v>
      </c>
      <c r="E16" s="32" t="n">
        <f aca="false">E11*Assumptions_B!$B$9</f>
        <v>14304836.16</v>
      </c>
      <c r="F16" s="32" t="n">
        <f aca="false">F11*Assumptions_B!$B$9</f>
        <v>24330651.696</v>
      </c>
      <c r="G16" s="2" t="s">
        <v>95</v>
      </c>
    </row>
    <row r="17" customFormat="false" ht="15" hidden="false" customHeight="false" outlineLevel="0" collapsed="false">
      <c r="A17" s="7" t="s">
        <v>96</v>
      </c>
      <c r="B17" s="32" t="n">
        <f aca="false">-B16*Assumptions_B!$B$10</f>
        <v>-75589.2</v>
      </c>
      <c r="C17" s="32" t="n">
        <f aca="false">-C16*Assumptions_B!$B$10</f>
        <v>-430018.56</v>
      </c>
      <c r="D17" s="32" t="n">
        <f aca="false">-D16*Assumptions_B!$B$10</f>
        <v>-1355146.38</v>
      </c>
      <c r="E17" s="32" t="n">
        <f aca="false">-E16*Assumptions_B!$B$10</f>
        <v>-2860967.232</v>
      </c>
      <c r="F17" s="32" t="n">
        <f aca="false">-F16*Assumptions_B!$B$10</f>
        <v>-4866130.3392</v>
      </c>
      <c r="G17" s="2" t="s">
        <v>97</v>
      </c>
    </row>
    <row r="18" customFormat="false" ht="15" hidden="false" customHeight="false" outlineLevel="0" collapsed="false">
      <c r="A18" s="7" t="s">
        <v>98</v>
      </c>
      <c r="B18" s="32" t="n">
        <f aca="false">B16+B17</f>
        <v>302356.8</v>
      </c>
      <c r="C18" s="32" t="n">
        <f aca="false">C16+C17</f>
        <v>1720074.24</v>
      </c>
      <c r="D18" s="32" t="n">
        <f aca="false">D16+D17</f>
        <v>5420585.52</v>
      </c>
      <c r="E18" s="32" t="n">
        <f aca="false">E16+E17</f>
        <v>11443868.928</v>
      </c>
      <c r="F18" s="32" t="n">
        <f aca="false">F16+F17</f>
        <v>19464521.3568</v>
      </c>
      <c r="G18" s="2"/>
    </row>
    <row r="19" customFormat="false" ht="15" hidden="false" customHeight="false" outlineLevel="0" collapsed="false">
      <c r="A19" s="7" t="s">
        <v>99</v>
      </c>
      <c r="B19" s="32" t="n">
        <f aca="false">B12*Assumptions_B!$B$13</f>
        <v>0</v>
      </c>
      <c r="C19" s="32" t="n">
        <f aca="false">C12*Assumptions_B!$B$13</f>
        <v>144000</v>
      </c>
      <c r="D19" s="32" t="n">
        <f aca="false">D12*Assumptions_B!$B$13</f>
        <v>720000</v>
      </c>
      <c r="E19" s="32" t="n">
        <f aca="false">E12*Assumptions_B!$B$13</f>
        <v>1920000</v>
      </c>
      <c r="F19" s="32" t="n">
        <f aca="false">F12*Assumptions_B!$B$13</f>
        <v>3600000</v>
      </c>
      <c r="G19" s="2" t="s">
        <v>100</v>
      </c>
    </row>
    <row r="20" customFormat="false" ht="15" hidden="false" customHeight="false" outlineLevel="0" collapsed="false">
      <c r="A20" s="7" t="s">
        <v>101</v>
      </c>
      <c r="B20" s="32" t="n">
        <f aca="false">B13*Assumptions_B!$B$16</f>
        <v>0</v>
      </c>
      <c r="C20" s="32" t="n">
        <f aca="false">C13*Assumptions_B!$B$16</f>
        <v>81000</v>
      </c>
      <c r="D20" s="32" t="n">
        <f aca="false">D13*Assumptions_B!$B$16</f>
        <v>432000</v>
      </c>
      <c r="E20" s="32" t="n">
        <f aca="false">E13*Assumptions_B!$B$16</f>
        <v>1350000</v>
      </c>
      <c r="F20" s="32" t="n">
        <f aca="false">F13*Assumptions_B!$B$16</f>
        <v>3240000</v>
      </c>
      <c r="G20" s="2" t="s">
        <v>102</v>
      </c>
    </row>
    <row r="21" customFormat="false" ht="15" hidden="false" customHeight="false" outlineLevel="0" collapsed="false">
      <c r="A21" s="9" t="s">
        <v>11</v>
      </c>
      <c r="B21" s="14" t="n">
        <f aca="false">B18+B19+B20</f>
        <v>302356.8</v>
      </c>
      <c r="C21" s="14" t="n">
        <f aca="false">C18+C19+C20</f>
        <v>1945074.24</v>
      </c>
      <c r="D21" s="14" t="n">
        <f aca="false">D18+D19+D20</f>
        <v>6572585.52</v>
      </c>
      <c r="E21" s="14" t="n">
        <f aca="false">E18+E19+E20</f>
        <v>14713868.928</v>
      </c>
      <c r="F21" s="14" t="n">
        <f aca="false">F18+F19+F20</f>
        <v>26304521.3568</v>
      </c>
      <c r="G21" s="2"/>
    </row>
    <row r="23" customFormat="false" ht="15" hidden="false" customHeight="false" outlineLevel="0" collapsed="false">
      <c r="A23" s="15" t="s">
        <v>103</v>
      </c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7" t="s">
        <v>104</v>
      </c>
      <c r="B24" s="32" t="n">
        <f aca="false">Assumptions_B!B17*Assumptions_B!B18</f>
        <v>765000</v>
      </c>
      <c r="C24" s="32" t="n">
        <f aca="false">Assumptions_B!C17*Assumptions_B!C18</f>
        <v>1408000</v>
      </c>
      <c r="D24" s="32" t="n">
        <f aca="false">Assumptions_B!D17*Assumptions_B!D18</f>
        <v>2520000</v>
      </c>
      <c r="E24" s="32" t="n">
        <f aca="false">Assumptions_B!E17*Assumptions_B!E18</f>
        <v>3864000</v>
      </c>
      <c r="F24" s="32" t="n">
        <f aca="false">Assumptions_B!F17*Assumptions_B!F18</f>
        <v>5700000</v>
      </c>
      <c r="G24" s="2" t="s">
        <v>105</v>
      </c>
    </row>
    <row r="25" customFormat="false" ht="15" hidden="false" customHeight="false" outlineLevel="0" collapsed="false">
      <c r="A25" s="7" t="s">
        <v>106</v>
      </c>
      <c r="B25" s="32" t="n">
        <f aca="false">B7*Assumptions_B!B19</f>
        <v>2400000</v>
      </c>
      <c r="C25" s="32" t="n">
        <f aca="false">C7*Assumptions_B!C19</f>
        <v>5600000</v>
      </c>
      <c r="D25" s="32" t="n">
        <f aca="false">D7*Assumptions_B!D19</f>
        <v>9100000</v>
      </c>
      <c r="E25" s="32" t="n">
        <f aca="false">E7*Assumptions_B!E19</f>
        <v>12000000</v>
      </c>
      <c r="F25" s="32" t="n">
        <f aca="false">F7*Assumptions_B!F19</f>
        <v>14400000</v>
      </c>
      <c r="G25" s="2" t="s">
        <v>107</v>
      </c>
    </row>
    <row r="26" customFormat="false" ht="15" hidden="false" customHeight="false" outlineLevel="0" collapsed="false">
      <c r="A26" s="7" t="s">
        <v>108</v>
      </c>
      <c r="B26" s="11" t="n">
        <f aca="false">Assumptions_B!B20</f>
        <v>60000</v>
      </c>
      <c r="C26" s="11" t="n">
        <f aca="false">Assumptions_B!C20</f>
        <v>150000</v>
      </c>
      <c r="D26" s="11" t="n">
        <f aca="false">Assumptions_B!D20</f>
        <v>350000</v>
      </c>
      <c r="E26" s="11" t="n">
        <f aca="false">Assumptions_B!E20</f>
        <v>600000</v>
      </c>
      <c r="F26" s="11" t="n">
        <f aca="false">Assumptions_B!F20</f>
        <v>900000</v>
      </c>
      <c r="G26" s="2" t="s">
        <v>82</v>
      </c>
    </row>
    <row r="27" customFormat="false" ht="15" hidden="false" customHeight="false" outlineLevel="0" collapsed="false">
      <c r="A27" s="7" t="s">
        <v>109</v>
      </c>
      <c r="B27" s="32" t="n">
        <f aca="false">(B24+B25+B26)*Assumptions_B!$B$21</f>
        <v>322500</v>
      </c>
      <c r="C27" s="32" t="n">
        <f aca="false">(C24+C25+C26)*Assumptions_B!$B$21</f>
        <v>715800</v>
      </c>
      <c r="D27" s="32" t="n">
        <f aca="false">(D24+D25+D26)*Assumptions_B!$B$21</f>
        <v>1197000</v>
      </c>
      <c r="E27" s="32" t="n">
        <f aca="false">(E24+E25+E26)*Assumptions_B!$B$21</f>
        <v>1646400</v>
      </c>
      <c r="F27" s="32" t="n">
        <f aca="false">(F24+F25+F26)*Assumptions_B!$B$21</f>
        <v>2100000</v>
      </c>
      <c r="G27" s="2" t="s">
        <v>110</v>
      </c>
    </row>
    <row r="28" customFormat="false" ht="15" hidden="false" customHeight="false" outlineLevel="0" collapsed="false">
      <c r="A28" s="9" t="s">
        <v>13</v>
      </c>
      <c r="B28" s="14" t="n">
        <f aca="false">SUM(B24:B27)</f>
        <v>3547500</v>
      </c>
      <c r="C28" s="14" t="n">
        <f aca="false">SUM(C24:C27)</f>
        <v>7873800</v>
      </c>
      <c r="D28" s="14" t="n">
        <f aca="false">SUM(D24:D27)</f>
        <v>13167000</v>
      </c>
      <c r="E28" s="14" t="n">
        <f aca="false">SUM(E24:E27)</f>
        <v>18110400</v>
      </c>
      <c r="F28" s="14" t="n">
        <f aca="false">SUM(F24:F27)</f>
        <v>23100000</v>
      </c>
      <c r="G28" s="2"/>
    </row>
    <row r="30" customFormat="false" ht="15" hidden="false" customHeight="false" outlineLevel="0" collapsed="false">
      <c r="A30" s="15" t="s">
        <v>111</v>
      </c>
      <c r="B30" s="16"/>
      <c r="C30" s="16"/>
      <c r="D30" s="16"/>
      <c r="E30" s="16"/>
      <c r="F30" s="16"/>
      <c r="G30" s="16"/>
    </row>
    <row r="31" customFormat="false" ht="15" hidden="false" customHeight="false" outlineLevel="0" collapsed="false">
      <c r="A31" s="9" t="s">
        <v>14</v>
      </c>
      <c r="B31" s="14" t="n">
        <f aca="false">B21-B28</f>
        <v>-3245143.2</v>
      </c>
      <c r="C31" s="14" t="n">
        <f aca="false">C21-C28</f>
        <v>-5928725.76</v>
      </c>
      <c r="D31" s="14" t="n">
        <f aca="false">D21-D28</f>
        <v>-6594414.48</v>
      </c>
      <c r="E31" s="14" t="n">
        <f aca="false">E21-E28</f>
        <v>-3396531.072</v>
      </c>
      <c r="F31" s="14" t="n">
        <f aca="false">F21-F28</f>
        <v>3204521.3568</v>
      </c>
      <c r="G31" s="2" t="s">
        <v>112</v>
      </c>
    </row>
    <row r="32" customFormat="false" ht="15" hidden="false" customHeight="false" outlineLevel="0" collapsed="false">
      <c r="A32" s="7" t="s">
        <v>15</v>
      </c>
      <c r="B32" s="33" t="n">
        <f aca="false">IF(B21=0,0,B31/B21)</f>
        <v>-10.7328269117811</v>
      </c>
      <c r="C32" s="33" t="n">
        <f aca="false">IF(C21=0,0,C31/C21)</f>
        <v>-3.04807170753544</v>
      </c>
      <c r="D32" s="33" t="n">
        <f aca="false">IF(D21=0,0,D31/D21)</f>
        <v>-1.00332121353668</v>
      </c>
      <c r="E32" s="33" t="n">
        <f aca="false">IF(E21=0,0,E31/E21)</f>
        <v>-0.230838747349211</v>
      </c>
      <c r="F32" s="33" t="n">
        <f aca="false">IF(F21=0,0,F31/F21)</f>
        <v>0.12182397517648</v>
      </c>
      <c r="G32" s="2" t="s">
        <v>113</v>
      </c>
    </row>
    <row r="33" customFormat="false" ht="15" hidden="false" customHeight="false" outlineLevel="0" collapsed="false">
      <c r="A33" s="7" t="s">
        <v>114</v>
      </c>
      <c r="B33" s="32" t="n">
        <f aca="false">Assumptions_B!$B$22+B31</f>
        <v>-3245143.2</v>
      </c>
      <c r="C33" s="32" t="n">
        <f aca="false">B33+C31</f>
        <v>-9173868.96</v>
      </c>
      <c r="D33" s="32" t="n">
        <f aca="false">C33+D31</f>
        <v>-15768283.44</v>
      </c>
      <c r="E33" s="32" t="n">
        <f aca="false">D33+E31</f>
        <v>-19164814.512</v>
      </c>
      <c r="F33" s="32" t="n">
        <f aca="false">E33+F31</f>
        <v>-15960293.1552</v>
      </c>
      <c r="G33" s="2" t="s">
        <v>115</v>
      </c>
    </row>
    <row r="35" customFormat="false" ht="15" hidden="false" customHeight="false" outlineLevel="0" collapsed="false">
      <c r="A35" s="15" t="s">
        <v>116</v>
      </c>
      <c r="B35" s="16"/>
      <c r="C35" s="16"/>
      <c r="D35" s="16"/>
      <c r="E35" s="16"/>
      <c r="F35" s="16"/>
      <c r="G35" s="16"/>
    </row>
    <row r="36" customFormat="false" ht="15" hidden="false" customHeight="false" outlineLevel="0" collapsed="false">
      <c r="A36" s="7" t="s">
        <v>117</v>
      </c>
      <c r="B36" s="34" t="n">
        <f aca="false">IF(B11=0,0,B18/B11)</f>
        <v>55.992</v>
      </c>
      <c r="C36" s="34" t="n">
        <f aca="false">IF(C11=0,0,C18/C11)</f>
        <v>55.992</v>
      </c>
      <c r="D36" s="34" t="n">
        <f aca="false">IF(D11=0,0,D18/D11)</f>
        <v>55.992</v>
      </c>
      <c r="E36" s="34" t="n">
        <f aca="false">IF(E11=0,0,E18/E11)</f>
        <v>55.992</v>
      </c>
      <c r="F36" s="34" t="n">
        <f aca="false">IF(F11=0,0,F18/F11)</f>
        <v>55.992</v>
      </c>
      <c r="G36" s="2" t="s">
        <v>118</v>
      </c>
    </row>
    <row r="37" customFormat="false" ht="15" hidden="false" customHeight="false" outlineLevel="0" collapsed="false">
      <c r="A37" s="7" t="s">
        <v>119</v>
      </c>
      <c r="B37" s="33" t="n">
        <f aca="false">IF(B21=0,0,(B19+B20)/B21)</f>
        <v>0</v>
      </c>
      <c r="C37" s="33" t="n">
        <f aca="false">IF(C21=0,0,(C19+C20)/C21)</f>
        <v>0.115676818587655</v>
      </c>
      <c r="D37" s="33" t="n">
        <f aca="false">IF(D21=0,0,(D19+D20)/D21)</f>
        <v>0.175273489632737</v>
      </c>
      <c r="E37" s="33" t="n">
        <f aca="false">IF(E21=0,0,(E19+E20)/E21)</f>
        <v>0.222239304699616</v>
      </c>
      <c r="F37" s="33" t="n">
        <f aca="false">IF(F21=0,0,(F19+F20)/F21)</f>
        <v>0.260031342415276</v>
      </c>
      <c r="G37" s="2" t="s">
        <v>120</v>
      </c>
    </row>
    <row r="38" customFormat="false" ht="15" hidden="false" customHeight="false" outlineLevel="0" collapsed="false">
      <c r="A38" s="7" t="s">
        <v>121</v>
      </c>
      <c r="B38" s="32" t="n">
        <f aca="false">IF(Assumptions_B!B17=0,0,B21/Assumptions_B!B17)</f>
        <v>33595.2</v>
      </c>
      <c r="C38" s="32" t="n">
        <f aca="false">IF(Assumptions_B!C17=0,0,C21/Assumptions_B!C17)</f>
        <v>121567.14</v>
      </c>
      <c r="D38" s="32" t="n">
        <f aca="false">IF(Assumptions_B!D17=0,0,D21/Assumptions_B!D17)</f>
        <v>234735.197142857</v>
      </c>
      <c r="E38" s="32" t="n">
        <f aca="false">IF(Assumptions_B!E17=0,0,E21/Assumptions_B!E17)</f>
        <v>350330.212571429</v>
      </c>
      <c r="F38" s="32" t="n">
        <f aca="false">IF(Assumptions_B!F17=0,0,F21/Assumptions_B!F17)</f>
        <v>438408.68928</v>
      </c>
      <c r="G38" s="2"/>
    </row>
    <row r="39" customFormat="false" ht="15" hidden="false" customHeight="false" outlineLevel="0" collapsed="false">
      <c r="A39" s="7" t="s">
        <v>122</v>
      </c>
      <c r="B39" s="32" t="n">
        <f aca="false">IF(B10-B8*Assumptions_B!$B$7*Assumptions_B!B8&lt;=0,0,B25/(B10-B8*Assumptions_B!$B$7*Assumptions_B!B8))</f>
        <v>222.222222222222</v>
      </c>
      <c r="C39" s="32" t="n">
        <f aca="false">IF(C10-C8*Assumptions_B!$B$7*Assumptions_B!C8&lt;=0,0,C25/(C10-C8*Assumptions_B!$B$7*Assumptions_B!C8))</f>
        <v>133.333333333333</v>
      </c>
      <c r="D39" s="32" t="n">
        <f aca="false">IF(D10-D8*Assumptions_B!$B$7*Assumptions_B!D8&lt;=0,0,D25/(D10-D8*Assumptions_B!$B$7*Assumptions_B!D8))</f>
        <v>86.6666666666667</v>
      </c>
      <c r="E39" s="32" t="n">
        <f aca="false">IF(E10-E8*Assumptions_B!$B$7*Assumptions_B!E8&lt;=0,0,E25/(E10-E8*Assumptions_B!$B$7*Assumptions_B!E8))</f>
        <v>66.6666666666667</v>
      </c>
      <c r="F39" s="32" t="n">
        <f aca="false">IF(F10-F8*Assumptions_B!$B$7*Assumptions_B!F8&lt;=0,0,F25/(F10-F8*Assumptions_B!$B$7*Assumptions_B!F8))</f>
        <v>53.3333333333333</v>
      </c>
      <c r="G39" s="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2026-10-02T18:57:02Z</dcterms:created>
  <dc:creator>openpyxl</dc:creator>
  <dc:description/>
  <dc:language>en-US</dc:language>
  <cp:lastModifiedBy/>
  <dcterms:modified xsi:type="dcterms:W3CDTF">2026-10-02T18:57:02Z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